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6.xml" ContentType="application/vnd.openxmlformats-officedocument.drawing+xml"/>
  <Override PartName="/xl/comments14.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showInkAnnotation="0" autoCompressPictures="0"/>
  <mc:AlternateContent xmlns:mc="http://schemas.openxmlformats.org/markup-compatibility/2006">
    <mc:Choice Requires="x15">
      <x15ac:absPath xmlns:x15ac="http://schemas.microsoft.com/office/spreadsheetml/2010/11/ac" url="/Users/tove/Documents/Kurser/Skoleårets planlægning/2023-2024/Lærer/vers10/"/>
    </mc:Choice>
  </mc:AlternateContent>
  <xr:revisionPtr revIDLastSave="0" documentId="8_{22B7EE70-2FE5-3E4A-B362-C685A0D048DA}" xr6:coauthVersionLast="47" xr6:coauthVersionMax="47" xr10:uidLastSave="{00000000-0000-0000-0000-000000000000}"/>
  <bookViews>
    <workbookView xWindow="0" yWindow="500" windowWidth="27940" windowHeight="17500" tabRatio="500" firstSheet="1" activeTab="4" xr2:uid="{00000000-000D-0000-FFFF-FFFF00000000}"/>
  </bookViews>
  <sheets>
    <sheet name="Vejledning" sheetId="21" r:id="rId1"/>
    <sheet name="Vejledning PDF" sheetId="79" r:id="rId2"/>
    <sheet name="Ændringer i forhold til 22-23" sheetId="80" r:id="rId3"/>
    <sheet name="Gode råd til check" sheetId="81" r:id="rId4"/>
    <sheet name="Stamoplysninger" sheetId="62" r:id="rId5"/>
    <sheet name="Skemaoplysninger" sheetId="43" r:id="rId6"/>
    <sheet name="August" sheetId="41" r:id="rId7"/>
    <sheet name="September" sheetId="63" r:id="rId8"/>
    <sheet name="Oktober" sheetId="64" r:id="rId9"/>
    <sheet name="November" sheetId="65" r:id="rId10"/>
    <sheet name="December" sheetId="66" r:id="rId11"/>
    <sheet name="Januar" sheetId="67" r:id="rId12"/>
    <sheet name="Februar" sheetId="68" r:id="rId13"/>
    <sheet name="Marts" sheetId="69" r:id="rId14"/>
    <sheet name="April" sheetId="70" r:id="rId15"/>
    <sheet name="Maj" sheetId="71" r:id="rId16"/>
    <sheet name="Juni" sheetId="72" r:id="rId17"/>
    <sheet name="Juli" sheetId="73" r:id="rId18"/>
    <sheet name="Arbejdstidsoversigt" sheetId="1" r:id="rId19"/>
    <sheet name="Opgaver" sheetId="44" r:id="rId20"/>
    <sheet name="Opgørelse" sheetId="50" r:id="rId21"/>
    <sheet name="Undervisningstillæg" sheetId="61" r:id="rId22"/>
    <sheet name="Ulempe-weekendtillæg" sheetId="74" r:id="rId23"/>
    <sheet name="Vejledning til arb.tidsoversigt" sheetId="20" state="hidden" r:id="rId24"/>
    <sheet name="Opgaveoversigt" sheetId="2" state="hidden" r:id="rId25"/>
    <sheet name="Aften-weekendtillæg" sheetId="5" state="hidden" r:id="rId26"/>
    <sheet name="Aar" sheetId="23" r:id="rId27"/>
    <sheet name="1.halvaar" sheetId="24" r:id="rId28"/>
    <sheet name="2.halvaar" sheetId="25" r:id="rId29"/>
    <sheet name="Skema 1 til print" sheetId="46" r:id="rId30"/>
    <sheet name="Skema 2 til print" sheetId="47" r:id="rId31"/>
    <sheet name="Skema 3 til print" sheetId="49" r:id="rId32"/>
    <sheet name="Skema 4 til print" sheetId="48" r:id="rId33"/>
    <sheet name="TOMT ÅR" sheetId="76" r:id="rId34"/>
    <sheet name="TOMT 1. HALVÅR" sheetId="77" r:id="rId35"/>
    <sheet name="TOMT 2. HALVÅR" sheetId="78" r:id="rId36"/>
  </sheets>
  <externalReferences>
    <externalReference r:id="rId37"/>
  </externalReferences>
  <definedNames>
    <definedName name="april" localSheetId="22">[1]Maaned!$AR$5:$AR$34</definedName>
    <definedName name="April">April!$C$9:$C$38</definedName>
    <definedName name="AUG" localSheetId="14">April!$D$9:$D$38</definedName>
    <definedName name="AUG" localSheetId="10">December!$D$9:$D$39</definedName>
    <definedName name="AUG" localSheetId="12">Februar!$D$9:$D$36</definedName>
    <definedName name="AUG" localSheetId="11">Januar!$D$9:$D$39</definedName>
    <definedName name="AUG" localSheetId="17">Juli!$D$9:$D$39</definedName>
    <definedName name="AUG" localSheetId="16">Juni!$D$9:$D$38</definedName>
    <definedName name="AUG" localSheetId="15">Maj!$D$9:$D$39</definedName>
    <definedName name="AUG" localSheetId="13">Marts!$D$9:$D$39</definedName>
    <definedName name="AUG" localSheetId="9">November!$D$9:$D$38</definedName>
    <definedName name="AUG" localSheetId="8">Oktober!$D$9:$D$39</definedName>
    <definedName name="AUG" localSheetId="7">September!$D$9:$D$38</definedName>
    <definedName name="AUG">August!$D$10:$D$40</definedName>
    <definedName name="august" localSheetId="14">April!$D$9:$D$38</definedName>
    <definedName name="august" localSheetId="6">August!$D$10:$D$40</definedName>
    <definedName name="august" localSheetId="10">December!$D$9:$D$39</definedName>
    <definedName name="august" localSheetId="12">Februar!$D$9:$D$36</definedName>
    <definedName name="august" localSheetId="11">Januar!$D$9:$D$39</definedName>
    <definedName name="august" localSheetId="17">Juli!$D$9:$D$39</definedName>
    <definedName name="august" localSheetId="16">Juni!$D$9:$D$38</definedName>
    <definedName name="august" localSheetId="15">Maj!$D$9:$D$39</definedName>
    <definedName name="august" localSheetId="13">Marts!$D$9:$D$39</definedName>
    <definedName name="august" localSheetId="9">November!$D$9:$D$38</definedName>
    <definedName name="august" localSheetId="8">Oktober!$D$9:$D$39</definedName>
    <definedName name="august" localSheetId="7">September!$D$9:$D$38</definedName>
    <definedName name="AUGUST">August!$C$10:$C$40</definedName>
    <definedName name="dagapr">[1]Maaned!$AQ$5:$AQ$34</definedName>
    <definedName name="dagaug">[1]Maaned!$C$5:$C$35</definedName>
    <definedName name="dagdec">[1]Maaned!$W$5:$W$35</definedName>
    <definedName name="dagfeb">[1]Maaned!$AG$5:$AG$33</definedName>
    <definedName name="dagjan">[1]Maaned!$AB$5:$AB$35</definedName>
    <definedName name="dagjul">[1]Maaned!$BF$5:$BF$35</definedName>
    <definedName name="dagjun">[1]Maaned!$BA$5:$BA$34</definedName>
    <definedName name="dagmaj">[1]Maaned!$AV$5:$AV$35</definedName>
    <definedName name="dagmar">[1]Maaned!$AL$5:$AL$35</definedName>
    <definedName name="dagnov">[1]Maaned!$R$5:$R$34</definedName>
    <definedName name="dagokt">[1]Maaned!$M$5:$M$35</definedName>
    <definedName name="dagsep">[1]Maaned!$H$5:$H$34</definedName>
    <definedName name="December">December!$C$9:$C$39</definedName>
    <definedName name="Februar">Februar!$C$9:$C$37</definedName>
    <definedName name="fridageGrå" localSheetId="33">'TOMT ÅR'!fridageGrå</definedName>
    <definedName name="fridageGrå" localSheetId="22">'Ulempe-weekendtillæg'!fridageGrå</definedName>
    <definedName name="fridageGrå" localSheetId="26">Aar!fridageGrå</definedName>
    <definedName name="fridageGrå">[0]!fridageGrå</definedName>
    <definedName name="Januar">Januar!$C$9:$C$39</definedName>
    <definedName name="Juli">Juli!$C$9:$C$39</definedName>
    <definedName name="Juni">Juni!$C$9:$C$38</definedName>
    <definedName name="Maj">Maj!$C$9:$C$39</definedName>
    <definedName name="Marts">Marts!$C$9:$C$39</definedName>
    <definedName name="November">November!$C$9:$C$38</definedName>
    <definedName name="Oktober">Oktober!$C$9:$C$39</definedName>
    <definedName name="SEPTEMBER">September!$C$9:$C$38</definedName>
    <definedName name="Skema_1">Februar!$C$9:$C$37</definedName>
    <definedName name="skolenavn" localSheetId="22">#REF!</definedName>
    <definedName name="skolenavn">#REF!</definedName>
    <definedName name="_xlnm.Print_Area" localSheetId="27">'1.halvaar'!$A$1:$AD$41</definedName>
    <definedName name="_xlnm.Print_Area" localSheetId="28">'2.halvaar'!$A$1:$AD$40</definedName>
    <definedName name="_xlnm.Print_Area" localSheetId="14">April!$A$5:$R$39</definedName>
    <definedName name="_xlnm.Print_Area" localSheetId="18">Arbejdstidsoversigt!$A$33:$J$81</definedName>
    <definedName name="_xlnm.Print_Area" localSheetId="6">August!$A$6:$R$41</definedName>
    <definedName name="_xlnm.Print_Area" localSheetId="10">December!$A$5:$R$40</definedName>
    <definedName name="_xlnm.Print_Area" localSheetId="12">Februar!$A$5:$R$38</definedName>
    <definedName name="_xlnm.Print_Area" localSheetId="11">Januar!$A$5:$R$40</definedName>
    <definedName name="_xlnm.Print_Area" localSheetId="17">Juli!$A$5:$R$40</definedName>
    <definedName name="_xlnm.Print_Area" localSheetId="16">Juni!$A$5:$R$39</definedName>
    <definedName name="_xlnm.Print_Area" localSheetId="15">Maj!$A$5:$R$40</definedName>
    <definedName name="_xlnm.Print_Area" localSheetId="13">Marts!$A$5:$R$40</definedName>
    <definedName name="_xlnm.Print_Area" localSheetId="9">November!$A$5:$R$39</definedName>
    <definedName name="_xlnm.Print_Area" localSheetId="8">Oktober!$A$5:$R$40</definedName>
    <definedName name="_xlnm.Print_Area" localSheetId="19">Opgaver!$A$3:$K$97</definedName>
    <definedName name="_xlnm.Print_Area" localSheetId="20">Opgørelse!$A$1:$H$59</definedName>
    <definedName name="_xlnm.Print_Area" localSheetId="7">September!$A$5:$R$39</definedName>
    <definedName name="_xlnm.Print_Area" localSheetId="5">Skemaoplysninger!$A$5:$AM$91</definedName>
    <definedName name="_xlnm.Print_Area" localSheetId="4">Stamoplysninger!$A$5:$H$31</definedName>
    <definedName name="_xlnm.Print_Area" localSheetId="22">'Ulempe-weekendtillæg'!$A$1:$D$32</definedName>
    <definedName name="_xlnm.Print_Area" localSheetId="21">Undervisningstillæg!$A$1:$J$37</definedName>
    <definedName name="_xlnm.Print_Area" localSheetId="0">Vejledning!$B$1:$B$92</definedName>
    <definedName name="_xlnm.Print_Area" localSheetId="26">Aar!$A$1:$AV$37</definedName>
    <definedName name="Ugenr" localSheetId="33">'TOMT ÅR'!Ugenr</definedName>
    <definedName name="Ugenr" localSheetId="22">'Ulempe-weekendtillæg'!Ugenr</definedName>
    <definedName name="Ugenr">[0]!Ugenr</definedName>
    <definedName name="Årstal" localSheetId="26">1996</definedName>
    <definedName name="årstal">1997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J30" i="1" l="1"/>
  <c r="D5" i="48"/>
  <c r="E5" i="48"/>
  <c r="F5" i="48"/>
  <c r="G5" i="48"/>
  <c r="D6" i="48"/>
  <c r="E6" i="48"/>
  <c r="F6" i="48"/>
  <c r="G6" i="48"/>
  <c r="D7" i="48"/>
  <c r="E7" i="48"/>
  <c r="F7" i="48"/>
  <c r="G7" i="48"/>
  <c r="D8" i="48"/>
  <c r="E8" i="48"/>
  <c r="F8" i="48"/>
  <c r="G8" i="48"/>
  <c r="D9" i="48"/>
  <c r="E9" i="48"/>
  <c r="F9" i="48"/>
  <c r="G9" i="48"/>
  <c r="D10" i="48"/>
  <c r="E10" i="48"/>
  <c r="F10" i="48"/>
  <c r="G10" i="48"/>
  <c r="D11" i="48"/>
  <c r="E11" i="48"/>
  <c r="F11" i="48"/>
  <c r="G11" i="48"/>
  <c r="D12" i="48"/>
  <c r="E12" i="48"/>
  <c r="F12" i="48"/>
  <c r="G12" i="48"/>
  <c r="D13" i="48"/>
  <c r="E13" i="48"/>
  <c r="F13" i="48"/>
  <c r="G13" i="48"/>
  <c r="D14" i="48"/>
  <c r="E14" i="48"/>
  <c r="F14" i="48"/>
  <c r="G14" i="48"/>
  <c r="D15" i="48"/>
  <c r="E15" i="48"/>
  <c r="F15" i="48"/>
  <c r="G15" i="48"/>
  <c r="D16" i="48"/>
  <c r="E16" i="48"/>
  <c r="F16" i="48"/>
  <c r="G16" i="48"/>
  <c r="D17" i="48"/>
  <c r="E17" i="48"/>
  <c r="F17" i="48"/>
  <c r="G17" i="48"/>
  <c r="D18" i="48"/>
  <c r="E18" i="48"/>
  <c r="F18" i="48"/>
  <c r="G18" i="48"/>
  <c r="D19" i="48"/>
  <c r="E19" i="48"/>
  <c r="F19" i="48"/>
  <c r="G19" i="48"/>
  <c r="D20" i="48"/>
  <c r="E20" i="48"/>
  <c r="F20" i="48"/>
  <c r="G20" i="48"/>
  <c r="D21" i="48"/>
  <c r="E21" i="48"/>
  <c r="F21" i="48"/>
  <c r="G21" i="48"/>
  <c r="D22" i="48"/>
  <c r="E22" i="48"/>
  <c r="F22" i="48"/>
  <c r="G22" i="48"/>
  <c r="C22" i="48"/>
  <c r="C21" i="48"/>
  <c r="C20" i="48"/>
  <c r="C19" i="48"/>
  <c r="C18" i="48"/>
  <c r="C17" i="48"/>
  <c r="C16" i="48"/>
  <c r="C15" i="48"/>
  <c r="C14" i="48"/>
  <c r="C13" i="48"/>
  <c r="C12" i="48"/>
  <c r="C11" i="48"/>
  <c r="C10" i="48"/>
  <c r="C9" i="48"/>
  <c r="C8" i="48"/>
  <c r="C7" i="48"/>
  <c r="C6" i="48"/>
  <c r="C5" i="48"/>
  <c r="D4" i="48"/>
  <c r="E4" i="48"/>
  <c r="F4" i="48"/>
  <c r="G4" i="48"/>
  <c r="C4" i="48"/>
  <c r="DI37" i="68"/>
  <c r="DL37" i="68" s="1"/>
  <c r="DJ37" i="68"/>
  <c r="DM37" i="68" s="1"/>
  <c r="DI38" i="68"/>
  <c r="DL38" i="68" s="1"/>
  <c r="DJ38" i="68"/>
  <c r="DM38" i="68" s="1"/>
  <c r="J67" i="73"/>
  <c r="I47" i="73" s="1"/>
  <c r="J66" i="72"/>
  <c r="J67" i="71"/>
  <c r="J66" i="70"/>
  <c r="J67" i="69"/>
  <c r="J67" i="67"/>
  <c r="N66" i="67"/>
  <c r="I50" i="67" s="1"/>
  <c r="J67" i="66"/>
  <c r="J66" i="65"/>
  <c r="J66" i="63"/>
  <c r="J35" i="61"/>
  <c r="J34" i="61"/>
  <c r="J33" i="61"/>
  <c r="J32" i="61"/>
  <c r="J31" i="61"/>
  <c r="J29" i="61"/>
  <c r="J28" i="61"/>
  <c r="J27" i="61"/>
  <c r="J26" i="61"/>
  <c r="J25" i="61"/>
  <c r="N65" i="72"/>
  <c r="I49" i="72" s="1"/>
  <c r="P64" i="68"/>
  <c r="O64" i="68"/>
  <c r="N64" i="68"/>
  <c r="P65" i="72"/>
  <c r="O65" i="72"/>
  <c r="I49" i="70"/>
  <c r="N65" i="70"/>
  <c r="P65" i="70"/>
  <c r="O65" i="70"/>
  <c r="I49" i="65"/>
  <c r="N65" i="65"/>
  <c r="P65" i="65"/>
  <c r="O65" i="65"/>
  <c r="I49" i="63"/>
  <c r="P65" i="63"/>
  <c r="O65" i="63"/>
  <c r="N65" i="63"/>
  <c r="I50" i="73"/>
  <c r="N66" i="73"/>
  <c r="P66" i="73"/>
  <c r="O66" i="73"/>
  <c r="I50" i="71"/>
  <c r="N66" i="71"/>
  <c r="P66" i="71"/>
  <c r="O66" i="71"/>
  <c r="I50" i="69"/>
  <c r="N66" i="69"/>
  <c r="P66" i="69"/>
  <c r="O66" i="69"/>
  <c r="P66" i="67"/>
  <c r="O66" i="67"/>
  <c r="O78" i="67"/>
  <c r="N78" i="67"/>
  <c r="M78" i="67"/>
  <c r="I50" i="66"/>
  <c r="N66" i="66"/>
  <c r="P66" i="66"/>
  <c r="O66" i="66"/>
  <c r="J67" i="64"/>
  <c r="I50" i="64"/>
  <c r="O66" i="64"/>
  <c r="P66" i="64"/>
  <c r="N66" i="64"/>
  <c r="N64" i="41"/>
  <c r="P63" i="41"/>
  <c r="O63" i="41"/>
  <c r="N63" i="41"/>
  <c r="J64" i="41"/>
  <c r="K73" i="44" l="1"/>
  <c r="K74" i="44"/>
  <c r="K75" i="44"/>
  <c r="K76" i="44"/>
  <c r="K77" i="44"/>
  <c r="K78" i="44"/>
  <c r="K79" i="44"/>
  <c r="K80" i="44"/>
  <c r="K81" i="44"/>
  <c r="K82" i="44"/>
  <c r="K83" i="44"/>
  <c r="K84" i="44"/>
  <c r="K85" i="44"/>
  <c r="K86" i="44"/>
  <c r="K87" i="44"/>
  <c r="K88" i="44"/>
  <c r="K89" i="44"/>
  <c r="K90" i="44"/>
  <c r="K91" i="44"/>
  <c r="K92" i="44"/>
  <c r="K93" i="44"/>
  <c r="K94" i="44"/>
  <c r="K95" i="44"/>
  <c r="K96" i="44"/>
  <c r="K53" i="44"/>
  <c r="K54" i="44"/>
  <c r="K55" i="44"/>
  <c r="K56" i="44"/>
  <c r="K57" i="44"/>
  <c r="K58" i="44"/>
  <c r="K59" i="44"/>
  <c r="K60" i="44"/>
  <c r="K61" i="44"/>
  <c r="K62" i="44"/>
  <c r="K63" i="44"/>
  <c r="K64" i="44"/>
  <c r="K65" i="44"/>
  <c r="K66" i="44"/>
  <c r="K67" i="44"/>
  <c r="K68" i="44"/>
  <c r="K69" i="44"/>
  <c r="K70" i="44"/>
  <c r="K71" i="44"/>
  <c r="K72" i="44"/>
  <c r="I89" i="44"/>
  <c r="I90" i="44"/>
  <c r="I91" i="44"/>
  <c r="I92" i="44"/>
  <c r="I93" i="44"/>
  <c r="I94" i="44"/>
  <c r="I95" i="44"/>
  <c r="I96" i="44"/>
  <c r="I84" i="44"/>
  <c r="I85" i="44"/>
  <c r="I86" i="44"/>
  <c r="I87" i="44"/>
  <c r="I88" i="44"/>
  <c r="I82" i="44"/>
  <c r="I83" i="44"/>
  <c r="I80" i="44"/>
  <c r="I81" i="44"/>
  <c r="I78" i="44"/>
  <c r="I79" i="44"/>
  <c r="I77" i="44"/>
  <c r="I74" i="44"/>
  <c r="I75" i="44"/>
  <c r="I76" i="44"/>
  <c r="I70" i="44"/>
  <c r="I71" i="44"/>
  <c r="I72" i="44"/>
  <c r="I73" i="44"/>
  <c r="I66" i="44"/>
  <c r="I67" i="44"/>
  <c r="I68" i="44"/>
  <c r="I69" i="44"/>
  <c r="I61" i="44"/>
  <c r="I62" i="44"/>
  <c r="I63" i="44"/>
  <c r="I64" i="44"/>
  <c r="I65" i="44"/>
  <c r="I59" i="44"/>
  <c r="I60" i="44"/>
  <c r="I57" i="44"/>
  <c r="I58" i="44"/>
  <c r="I55" i="44"/>
  <c r="I56" i="44"/>
  <c r="I53" i="44"/>
  <c r="I54" i="44"/>
  <c r="B96" i="44"/>
  <c r="B92" i="44"/>
  <c r="B93" i="44"/>
  <c r="B94" i="44"/>
  <c r="B95" i="44"/>
  <c r="B90" i="44"/>
  <c r="B91" i="44"/>
  <c r="B87" i="44"/>
  <c r="B88" i="44"/>
  <c r="B89" i="44"/>
  <c r="B84" i="44"/>
  <c r="B85" i="44"/>
  <c r="B86" i="44"/>
  <c r="B82" i="44"/>
  <c r="B83" i="44"/>
  <c r="B80" i="44"/>
  <c r="B81" i="44"/>
  <c r="B78" i="44"/>
  <c r="B79" i="44"/>
  <c r="B77" i="44"/>
  <c r="B74" i="44"/>
  <c r="B75" i="44"/>
  <c r="B76" i="44"/>
  <c r="B68" i="44"/>
  <c r="B69" i="44"/>
  <c r="B70" i="44"/>
  <c r="B71" i="44"/>
  <c r="B72" i="44"/>
  <c r="B73" i="44"/>
  <c r="B62" i="44"/>
  <c r="B63" i="44"/>
  <c r="B64" i="44"/>
  <c r="B65" i="44"/>
  <c r="B66" i="44"/>
  <c r="B67" i="44"/>
  <c r="B57" i="44"/>
  <c r="B58" i="44"/>
  <c r="B59" i="44"/>
  <c r="B60" i="44"/>
  <c r="B61" i="44"/>
  <c r="K47" i="43"/>
  <c r="L47" i="43"/>
  <c r="M47" i="43"/>
  <c r="N47" i="43"/>
  <c r="O47" i="43"/>
  <c r="P47" i="43"/>
  <c r="Q47" i="43"/>
  <c r="R47" i="43"/>
  <c r="S47" i="43"/>
  <c r="T47" i="43"/>
  <c r="U47" i="43"/>
  <c r="V47" i="43"/>
  <c r="K48" i="43"/>
  <c r="L48" i="43"/>
  <c r="M48" i="43"/>
  <c r="N48" i="43"/>
  <c r="O48" i="43"/>
  <c r="P48" i="43"/>
  <c r="Q48" i="43"/>
  <c r="R48" i="43"/>
  <c r="S48" i="43"/>
  <c r="T48" i="43"/>
  <c r="U48" i="43"/>
  <c r="V48" i="43"/>
  <c r="K49" i="43"/>
  <c r="L49" i="43"/>
  <c r="M49" i="43"/>
  <c r="N49" i="43"/>
  <c r="O49" i="43"/>
  <c r="P49" i="43"/>
  <c r="Q49" i="43"/>
  <c r="R49" i="43"/>
  <c r="S49" i="43"/>
  <c r="T49" i="43"/>
  <c r="U49" i="43"/>
  <c r="V49" i="43"/>
  <c r="K50" i="43"/>
  <c r="L50" i="43"/>
  <c r="M50" i="43"/>
  <c r="N50" i="43"/>
  <c r="O50" i="43"/>
  <c r="P50" i="43"/>
  <c r="Q50" i="43"/>
  <c r="R50" i="43"/>
  <c r="S50" i="43"/>
  <c r="T50" i="43"/>
  <c r="U50" i="43"/>
  <c r="V50" i="43"/>
  <c r="K51" i="43"/>
  <c r="L51" i="43"/>
  <c r="M51" i="43"/>
  <c r="N51" i="43"/>
  <c r="O51" i="43"/>
  <c r="P51" i="43"/>
  <c r="Q51" i="43"/>
  <c r="R51" i="43"/>
  <c r="S51" i="43"/>
  <c r="T51" i="43"/>
  <c r="U51" i="43"/>
  <c r="V51" i="43"/>
  <c r="K52" i="43"/>
  <c r="L52" i="43"/>
  <c r="M52" i="43"/>
  <c r="N52" i="43"/>
  <c r="O52" i="43"/>
  <c r="P52" i="43"/>
  <c r="Q52" i="43"/>
  <c r="R52" i="43"/>
  <c r="S52" i="43"/>
  <c r="T52" i="43"/>
  <c r="U52" i="43"/>
  <c r="V52" i="43"/>
  <c r="K53" i="43"/>
  <c r="L53" i="43"/>
  <c r="M53" i="43"/>
  <c r="N53" i="43"/>
  <c r="O53" i="43"/>
  <c r="P53" i="43"/>
  <c r="Q53" i="43"/>
  <c r="R53" i="43"/>
  <c r="S53" i="43"/>
  <c r="T53" i="43"/>
  <c r="U53" i="43"/>
  <c r="V53" i="43"/>
  <c r="K54" i="43"/>
  <c r="L54" i="43"/>
  <c r="M54" i="43"/>
  <c r="N54" i="43"/>
  <c r="O54" i="43"/>
  <c r="P54" i="43"/>
  <c r="Q54" i="43"/>
  <c r="R54" i="43"/>
  <c r="S54" i="43"/>
  <c r="T54" i="43"/>
  <c r="U54" i="43"/>
  <c r="V54" i="43"/>
  <c r="K55" i="43"/>
  <c r="L55" i="43"/>
  <c r="M55" i="43"/>
  <c r="N55" i="43"/>
  <c r="O55" i="43"/>
  <c r="P55" i="43"/>
  <c r="Q55" i="43"/>
  <c r="R55" i="43"/>
  <c r="S55" i="43"/>
  <c r="T55" i="43"/>
  <c r="U55" i="43"/>
  <c r="V55" i="43"/>
  <c r="K56" i="43"/>
  <c r="L56" i="43"/>
  <c r="M56" i="43"/>
  <c r="N56" i="43"/>
  <c r="O56" i="43"/>
  <c r="P56" i="43"/>
  <c r="Q56" i="43"/>
  <c r="R56" i="43"/>
  <c r="S56" i="43"/>
  <c r="T56" i="43"/>
  <c r="U56" i="43"/>
  <c r="V56" i="43"/>
  <c r="K57" i="43"/>
  <c r="L57" i="43"/>
  <c r="M57" i="43"/>
  <c r="N57" i="43"/>
  <c r="O57" i="43"/>
  <c r="P57" i="43"/>
  <c r="Q57" i="43"/>
  <c r="R57" i="43"/>
  <c r="S57" i="43"/>
  <c r="T57" i="43"/>
  <c r="U57" i="43"/>
  <c r="V57" i="43"/>
  <c r="K58" i="43"/>
  <c r="L58" i="43"/>
  <c r="M58" i="43"/>
  <c r="N58" i="43"/>
  <c r="O58" i="43"/>
  <c r="P58" i="43"/>
  <c r="Q58" i="43"/>
  <c r="R58" i="43"/>
  <c r="S58" i="43"/>
  <c r="T58" i="43"/>
  <c r="U58" i="43"/>
  <c r="V58" i="43"/>
  <c r="K59" i="43"/>
  <c r="L59" i="43"/>
  <c r="M59" i="43"/>
  <c r="N59" i="43"/>
  <c r="O59" i="43"/>
  <c r="P59" i="43"/>
  <c r="Q59" i="43"/>
  <c r="R59" i="43"/>
  <c r="S59" i="43"/>
  <c r="T59" i="43"/>
  <c r="U59" i="43"/>
  <c r="V59" i="43"/>
  <c r="K60" i="43"/>
  <c r="L60" i="43"/>
  <c r="M60" i="43"/>
  <c r="N60" i="43"/>
  <c r="O60" i="43"/>
  <c r="P60" i="43"/>
  <c r="Q60" i="43"/>
  <c r="R60" i="43"/>
  <c r="S60" i="43"/>
  <c r="T60" i="43"/>
  <c r="U60" i="43"/>
  <c r="V60" i="43"/>
  <c r="K61" i="43"/>
  <c r="L61" i="43"/>
  <c r="M61" i="43"/>
  <c r="N61" i="43"/>
  <c r="O61" i="43"/>
  <c r="P61" i="43"/>
  <c r="Q61" i="43"/>
  <c r="R61" i="43"/>
  <c r="S61" i="43"/>
  <c r="T61" i="43"/>
  <c r="U61" i="43"/>
  <c r="V61" i="43"/>
  <c r="K62" i="43"/>
  <c r="L62" i="43"/>
  <c r="M62" i="43"/>
  <c r="N62" i="43"/>
  <c r="O62" i="43"/>
  <c r="P62" i="43"/>
  <c r="Q62" i="43"/>
  <c r="R62" i="43"/>
  <c r="S62" i="43"/>
  <c r="T62" i="43"/>
  <c r="U62" i="43"/>
  <c r="V62" i="43"/>
  <c r="K63" i="43"/>
  <c r="L63" i="43"/>
  <c r="M63" i="43"/>
  <c r="N63" i="43"/>
  <c r="O63" i="43"/>
  <c r="P63" i="43"/>
  <c r="Q63" i="43"/>
  <c r="R63" i="43"/>
  <c r="S63" i="43"/>
  <c r="T63" i="43"/>
  <c r="U63" i="43"/>
  <c r="V63" i="43"/>
  <c r="K64" i="43"/>
  <c r="L64" i="43"/>
  <c r="M64" i="43"/>
  <c r="N64" i="43"/>
  <c r="O64" i="43"/>
  <c r="P64" i="43"/>
  <c r="Q64" i="43"/>
  <c r="R64" i="43"/>
  <c r="S64" i="43"/>
  <c r="T64" i="43"/>
  <c r="U64" i="43"/>
  <c r="V64" i="43"/>
  <c r="K65" i="43"/>
  <c r="L65" i="43"/>
  <c r="M65" i="43"/>
  <c r="N65" i="43"/>
  <c r="O65" i="43"/>
  <c r="P65" i="43"/>
  <c r="Q65" i="43"/>
  <c r="R65" i="43"/>
  <c r="S65" i="43"/>
  <c r="T65" i="43"/>
  <c r="U65" i="43"/>
  <c r="V65" i="43"/>
  <c r="K66" i="43"/>
  <c r="L66" i="43"/>
  <c r="M66" i="43"/>
  <c r="N66" i="43"/>
  <c r="O66" i="43"/>
  <c r="P66" i="43"/>
  <c r="Q66" i="43"/>
  <c r="R66" i="43"/>
  <c r="S66" i="43"/>
  <c r="T66" i="43"/>
  <c r="U66" i="43"/>
  <c r="V66" i="43"/>
  <c r="K67" i="43"/>
  <c r="L67" i="43"/>
  <c r="M67" i="43"/>
  <c r="N67" i="43"/>
  <c r="O67" i="43"/>
  <c r="P67" i="43"/>
  <c r="Q67" i="43"/>
  <c r="R67" i="43"/>
  <c r="S67" i="43"/>
  <c r="T67" i="43"/>
  <c r="U67" i="43"/>
  <c r="V67" i="43"/>
  <c r="K68" i="43"/>
  <c r="L68" i="43"/>
  <c r="M68" i="43"/>
  <c r="N68" i="43"/>
  <c r="O68" i="43"/>
  <c r="P68" i="43"/>
  <c r="Q68" i="43"/>
  <c r="R68" i="43"/>
  <c r="S68" i="43"/>
  <c r="T68" i="43"/>
  <c r="U68" i="43"/>
  <c r="V68" i="43"/>
  <c r="K69" i="43"/>
  <c r="L69" i="43"/>
  <c r="M69" i="43"/>
  <c r="N69" i="43"/>
  <c r="O69" i="43"/>
  <c r="P69" i="43"/>
  <c r="Q69" i="43"/>
  <c r="R69" i="43"/>
  <c r="S69" i="43"/>
  <c r="T69" i="43"/>
  <c r="U69" i="43"/>
  <c r="V69" i="43"/>
  <c r="K70" i="43"/>
  <c r="L70" i="43"/>
  <c r="M70" i="43"/>
  <c r="N70" i="43"/>
  <c r="O70" i="43"/>
  <c r="P70" i="43"/>
  <c r="Q70" i="43"/>
  <c r="R70" i="43"/>
  <c r="S70" i="43"/>
  <c r="T70" i="43"/>
  <c r="U70" i="43"/>
  <c r="V70" i="43"/>
  <c r="K71" i="43"/>
  <c r="L71" i="43"/>
  <c r="M71" i="43"/>
  <c r="N71" i="43"/>
  <c r="O71" i="43"/>
  <c r="P71" i="43"/>
  <c r="Q71" i="43"/>
  <c r="R71" i="43"/>
  <c r="S71" i="43"/>
  <c r="T71" i="43"/>
  <c r="U71" i="43"/>
  <c r="V71" i="43"/>
  <c r="K72" i="43"/>
  <c r="L72" i="43"/>
  <c r="M72" i="43"/>
  <c r="N72" i="43"/>
  <c r="O72" i="43"/>
  <c r="P72" i="43"/>
  <c r="Q72" i="43"/>
  <c r="R72" i="43"/>
  <c r="S72" i="43"/>
  <c r="T72" i="43"/>
  <c r="U72" i="43"/>
  <c r="V72" i="43"/>
  <c r="K73" i="43"/>
  <c r="L73" i="43"/>
  <c r="M73" i="43"/>
  <c r="N73" i="43"/>
  <c r="O73" i="43"/>
  <c r="P73" i="43"/>
  <c r="Q73" i="43"/>
  <c r="R73" i="43"/>
  <c r="S73" i="43"/>
  <c r="T73" i="43"/>
  <c r="U73" i="43"/>
  <c r="V73" i="43"/>
  <c r="K74" i="43"/>
  <c r="L74" i="43"/>
  <c r="M74" i="43"/>
  <c r="N74" i="43"/>
  <c r="O74" i="43"/>
  <c r="P74" i="43"/>
  <c r="Q74" i="43"/>
  <c r="R74" i="43"/>
  <c r="S74" i="43"/>
  <c r="T74" i="43"/>
  <c r="U74" i="43"/>
  <c r="V74" i="43"/>
  <c r="K75" i="43"/>
  <c r="L75" i="43"/>
  <c r="M75" i="43"/>
  <c r="N75" i="43"/>
  <c r="O75" i="43"/>
  <c r="P75" i="43"/>
  <c r="Q75" i="43"/>
  <c r="R75" i="43"/>
  <c r="S75" i="43"/>
  <c r="T75" i="43"/>
  <c r="U75" i="43"/>
  <c r="V75" i="43"/>
  <c r="K76" i="43"/>
  <c r="L76" i="43"/>
  <c r="M76" i="43"/>
  <c r="N76" i="43"/>
  <c r="O76" i="43"/>
  <c r="P76" i="43"/>
  <c r="Q76" i="43"/>
  <c r="R76" i="43"/>
  <c r="S76" i="43"/>
  <c r="T76" i="43"/>
  <c r="U76" i="43"/>
  <c r="V76" i="43"/>
  <c r="K77" i="43"/>
  <c r="L77" i="43"/>
  <c r="M77" i="43"/>
  <c r="N77" i="43"/>
  <c r="O77" i="43"/>
  <c r="P77" i="43"/>
  <c r="Q77" i="43"/>
  <c r="R77" i="43"/>
  <c r="S77" i="43"/>
  <c r="T77" i="43"/>
  <c r="U77" i="43"/>
  <c r="V77" i="43"/>
  <c r="K78" i="43"/>
  <c r="L78" i="43"/>
  <c r="M78" i="43"/>
  <c r="N78" i="43"/>
  <c r="O78" i="43"/>
  <c r="P78" i="43"/>
  <c r="Q78" i="43"/>
  <c r="R78" i="43"/>
  <c r="S78" i="43"/>
  <c r="T78" i="43"/>
  <c r="U78" i="43"/>
  <c r="V78" i="43"/>
  <c r="K79" i="43"/>
  <c r="L79" i="43"/>
  <c r="M79" i="43"/>
  <c r="N79" i="43"/>
  <c r="O79" i="43"/>
  <c r="P79" i="43"/>
  <c r="Q79" i="43"/>
  <c r="R79" i="43"/>
  <c r="S79" i="43"/>
  <c r="T79" i="43"/>
  <c r="U79" i="43"/>
  <c r="V79" i="43"/>
  <c r="K80" i="43"/>
  <c r="L80" i="43"/>
  <c r="M80" i="43"/>
  <c r="N80" i="43"/>
  <c r="O80" i="43"/>
  <c r="P80" i="43"/>
  <c r="Q80" i="43"/>
  <c r="R80" i="43"/>
  <c r="S80" i="43"/>
  <c r="T80" i="43"/>
  <c r="U80" i="43"/>
  <c r="V80" i="43"/>
  <c r="K81" i="43"/>
  <c r="L81" i="43"/>
  <c r="M81" i="43"/>
  <c r="N81" i="43"/>
  <c r="O81" i="43"/>
  <c r="P81" i="43"/>
  <c r="Q81" i="43"/>
  <c r="R81" i="43"/>
  <c r="S81" i="43"/>
  <c r="T81" i="43"/>
  <c r="U81" i="43"/>
  <c r="V81" i="43"/>
  <c r="K82" i="43"/>
  <c r="L82" i="43"/>
  <c r="M82" i="43"/>
  <c r="N82" i="43"/>
  <c r="O82" i="43"/>
  <c r="P82" i="43"/>
  <c r="Q82" i="43"/>
  <c r="R82" i="43"/>
  <c r="S82" i="43"/>
  <c r="T82" i="43"/>
  <c r="U82" i="43"/>
  <c r="V82" i="43"/>
  <c r="K83" i="43"/>
  <c r="L83" i="43"/>
  <c r="M83" i="43"/>
  <c r="N83" i="43"/>
  <c r="O83" i="43"/>
  <c r="P83" i="43"/>
  <c r="Q83" i="43"/>
  <c r="R83" i="43"/>
  <c r="S83" i="43"/>
  <c r="T83" i="43"/>
  <c r="U83" i="43"/>
  <c r="V83" i="43"/>
  <c r="K84" i="43"/>
  <c r="L84" i="43"/>
  <c r="M84" i="43"/>
  <c r="N84" i="43"/>
  <c r="O84" i="43"/>
  <c r="P84" i="43"/>
  <c r="Q84" i="43"/>
  <c r="R84" i="43"/>
  <c r="S84" i="43"/>
  <c r="T84" i="43"/>
  <c r="U84" i="43"/>
  <c r="V84" i="43"/>
  <c r="K85" i="43"/>
  <c r="L85" i="43"/>
  <c r="M85" i="43"/>
  <c r="N85" i="43"/>
  <c r="O85" i="43"/>
  <c r="P85" i="43"/>
  <c r="Q85" i="43"/>
  <c r="R85" i="43"/>
  <c r="S85" i="43"/>
  <c r="T85" i="43"/>
  <c r="U85" i="43"/>
  <c r="V85" i="43"/>
  <c r="K86" i="43"/>
  <c r="L86" i="43"/>
  <c r="M86" i="43"/>
  <c r="N86" i="43"/>
  <c r="O86" i="43"/>
  <c r="P86" i="43"/>
  <c r="Q86" i="43"/>
  <c r="R86" i="43"/>
  <c r="S86" i="43"/>
  <c r="T86" i="43"/>
  <c r="U86" i="43"/>
  <c r="V86" i="43"/>
  <c r="K87" i="43"/>
  <c r="L87" i="43"/>
  <c r="M87" i="43"/>
  <c r="N87" i="43"/>
  <c r="O87" i="43"/>
  <c r="P87" i="43"/>
  <c r="Q87" i="43"/>
  <c r="R87" i="43"/>
  <c r="S87" i="43"/>
  <c r="T87" i="43"/>
  <c r="U87" i="43"/>
  <c r="V87" i="43"/>
  <c r="K88" i="43"/>
  <c r="L88" i="43"/>
  <c r="M88" i="43"/>
  <c r="N88" i="43"/>
  <c r="O88" i="43"/>
  <c r="P88" i="43"/>
  <c r="Q88" i="43"/>
  <c r="R88" i="43"/>
  <c r="S88" i="43"/>
  <c r="T88" i="43"/>
  <c r="U88" i="43"/>
  <c r="V88" i="43"/>
  <c r="K89" i="43"/>
  <c r="L89" i="43"/>
  <c r="M89" i="43"/>
  <c r="N89" i="43"/>
  <c r="O89" i="43"/>
  <c r="P89" i="43"/>
  <c r="Q89" i="43"/>
  <c r="R89" i="43"/>
  <c r="S89" i="43"/>
  <c r="T89" i="43"/>
  <c r="U89" i="43"/>
  <c r="V89" i="43"/>
  <c r="K90" i="43"/>
  <c r="L90" i="43"/>
  <c r="M90" i="43"/>
  <c r="N90" i="43"/>
  <c r="O90" i="43"/>
  <c r="P90" i="43"/>
  <c r="Q90" i="43"/>
  <c r="R90" i="43"/>
  <c r="S90" i="43"/>
  <c r="T90" i="43"/>
  <c r="U90" i="43"/>
  <c r="V90" i="43"/>
  <c r="X4" i="24"/>
  <c r="X5" i="24"/>
  <c r="X6" i="24"/>
  <c r="X7" i="24"/>
  <c r="X8" i="24"/>
  <c r="X9" i="24"/>
  <c r="X10" i="24"/>
  <c r="X11" i="24"/>
  <c r="X12" i="24"/>
  <c r="X13" i="24"/>
  <c r="X14" i="24"/>
  <c r="X15" i="24"/>
  <c r="X17" i="24"/>
  <c r="X18" i="24"/>
  <c r="X19" i="24"/>
  <c r="X20" i="24"/>
  <c r="X21" i="24"/>
  <c r="X22" i="24"/>
  <c r="X23" i="24"/>
  <c r="X24" i="24"/>
  <c r="X25" i="24"/>
  <c r="X26" i="24"/>
  <c r="X27" i="24"/>
  <c r="X28" i="24"/>
  <c r="X29" i="24"/>
  <c r="X30" i="24"/>
  <c r="X31" i="24"/>
  <c r="X32" i="24"/>
  <c r="X33" i="24"/>
  <c r="X3" i="24"/>
  <c r="I17" i="50"/>
  <c r="J16" i="50"/>
  <c r="J53" i="50" s="1"/>
  <c r="J15" i="50"/>
  <c r="J52" i="50" s="1"/>
  <c r="J14" i="50"/>
  <c r="J51" i="50" s="1"/>
  <c r="J13" i="50"/>
  <c r="J44" i="50" s="1"/>
  <c r="J12" i="50"/>
  <c r="J43" i="50" s="1"/>
  <c r="J11" i="50"/>
  <c r="J10" i="50"/>
  <c r="J35" i="50" s="1"/>
  <c r="J9" i="50"/>
  <c r="J34" i="50" s="1"/>
  <c r="J8" i="50"/>
  <c r="J33" i="50" s="1"/>
  <c r="J7" i="50"/>
  <c r="J6" i="50"/>
  <c r="J25" i="50" s="1"/>
  <c r="J5" i="50"/>
  <c r="I62" i="71"/>
  <c r="I53" i="72" s="1"/>
  <c r="H62" i="67"/>
  <c r="H52" i="68" s="1"/>
  <c r="I62" i="41"/>
  <c r="I14" i="50"/>
  <c r="I51" i="50" s="1"/>
  <c r="J26" i="50"/>
  <c r="I49" i="50"/>
  <c r="K50" i="50"/>
  <c r="J50" i="50"/>
  <c r="I50" i="50"/>
  <c r="I40" i="50"/>
  <c r="K41" i="50"/>
  <c r="J41" i="50"/>
  <c r="I41" i="50"/>
  <c r="I31" i="50"/>
  <c r="K32" i="50"/>
  <c r="J32" i="50"/>
  <c r="I32" i="50"/>
  <c r="K23" i="50"/>
  <c r="J23" i="50"/>
  <c r="I23" i="50"/>
  <c r="I5" i="50"/>
  <c r="I24" i="50" s="1"/>
  <c r="BR40" i="71"/>
  <c r="R41" i="41"/>
  <c r="V41" i="41"/>
  <c r="X38" i="68"/>
  <c r="W38" i="68"/>
  <c r="J30" i="61" s="1"/>
  <c r="V38" i="68"/>
  <c r="R38" i="68"/>
  <c r="AG21" i="43"/>
  <c r="AG22" i="43"/>
  <c r="AG23" i="43"/>
  <c r="AG24" i="43"/>
  <c r="AG25" i="43"/>
  <c r="AG26" i="43"/>
  <c r="AG27" i="43"/>
  <c r="AG28" i="43"/>
  <c r="AG29" i="43"/>
  <c r="W21" i="43"/>
  <c r="W22" i="43"/>
  <c r="W23" i="43"/>
  <c r="W24" i="43"/>
  <c r="W25" i="43"/>
  <c r="W26" i="43"/>
  <c r="W27" i="43"/>
  <c r="W28" i="43"/>
  <c r="W29" i="43"/>
  <c r="W12" i="43"/>
  <c r="X12" i="43" s="1"/>
  <c r="W13" i="43" s="1"/>
  <c r="X13" i="43" s="1"/>
  <c r="W14" i="43" s="1"/>
  <c r="X14" i="43" s="1"/>
  <c r="W15" i="43" s="1"/>
  <c r="X15" i="43" s="1"/>
  <c r="W16" i="43" s="1"/>
  <c r="X16" i="43" s="1"/>
  <c r="W17" i="43" s="1"/>
  <c r="X17" i="43" s="1"/>
  <c r="W18" i="43" s="1"/>
  <c r="X18" i="43" s="1"/>
  <c r="W19" i="43" s="1"/>
  <c r="X19" i="43" s="1"/>
  <c r="W20" i="43" s="1"/>
  <c r="X20" i="43" s="1"/>
  <c r="M21" i="43"/>
  <c r="M22" i="43"/>
  <c r="M23" i="43"/>
  <c r="M24" i="43"/>
  <c r="M25" i="43"/>
  <c r="M26" i="43"/>
  <c r="M27" i="43"/>
  <c r="M28" i="43"/>
  <c r="M29" i="43"/>
  <c r="M12" i="43"/>
  <c r="N12" i="43" s="1"/>
  <c r="M13" i="43" s="1"/>
  <c r="N13" i="43" s="1"/>
  <c r="M14" i="43" s="1"/>
  <c r="N14" i="43" s="1"/>
  <c r="M15" i="43" s="1"/>
  <c r="N15" i="43" s="1"/>
  <c r="M16" i="43" s="1"/>
  <c r="N16" i="43" s="1"/>
  <c r="M17" i="43" s="1"/>
  <c r="N17" i="43" s="1"/>
  <c r="M18" i="43" s="1"/>
  <c r="N18" i="43" s="1"/>
  <c r="M19" i="43" s="1"/>
  <c r="N19" i="43" s="1"/>
  <c r="M20" i="43" s="1"/>
  <c r="N20" i="43" s="1"/>
  <c r="C21" i="43"/>
  <c r="C22" i="43"/>
  <c r="C23" i="43"/>
  <c r="C24" i="43"/>
  <c r="C25" i="43"/>
  <c r="C26" i="43"/>
  <c r="C27" i="43"/>
  <c r="C28" i="43"/>
  <c r="C29" i="43"/>
  <c r="AH21" i="43"/>
  <c r="AH22" i="43"/>
  <c r="AH23" i="43"/>
  <c r="AH24" i="43"/>
  <c r="AH25" i="43"/>
  <c r="AH26" i="43"/>
  <c r="AH27" i="43"/>
  <c r="AH28" i="43"/>
  <c r="AH29" i="43"/>
  <c r="AG11" i="43"/>
  <c r="AH11" i="43" s="1"/>
  <c r="AG12" i="43" s="1"/>
  <c r="AH12" i="43" s="1"/>
  <c r="AG13" i="43" s="1"/>
  <c r="AH13" i="43" s="1"/>
  <c r="AG14" i="43" s="1"/>
  <c r="AH14" i="43" s="1"/>
  <c r="AG15" i="43" s="1"/>
  <c r="AH15" i="43" s="1"/>
  <c r="AG16" i="43" s="1"/>
  <c r="AH16" i="43" s="1"/>
  <c r="AG17" i="43" s="1"/>
  <c r="AH17" i="43" s="1"/>
  <c r="AG18" i="43" s="1"/>
  <c r="AH18" i="43" s="1"/>
  <c r="AG19" i="43" s="1"/>
  <c r="AH19" i="43" s="1"/>
  <c r="AG20" i="43" s="1"/>
  <c r="AH20" i="43" s="1"/>
  <c r="X21" i="43"/>
  <c r="X22" i="43"/>
  <c r="X23" i="43"/>
  <c r="X24" i="43"/>
  <c r="X25" i="43"/>
  <c r="X26" i="43"/>
  <c r="X27" i="43"/>
  <c r="X28" i="43"/>
  <c r="X29" i="43"/>
  <c r="W11" i="43"/>
  <c r="X11" i="43" s="1"/>
  <c r="N21" i="43"/>
  <c r="N22" i="43"/>
  <c r="N23" i="43"/>
  <c r="N24" i="43"/>
  <c r="N25" i="43"/>
  <c r="N26" i="43"/>
  <c r="N27" i="43"/>
  <c r="N28" i="43"/>
  <c r="N29" i="43"/>
  <c r="M11" i="43"/>
  <c r="N11" i="43" s="1"/>
  <c r="C11" i="43"/>
  <c r="D11" i="43" s="1"/>
  <c r="C12" i="43" s="1"/>
  <c r="D12" i="43" s="1"/>
  <c r="C13" i="43" s="1"/>
  <c r="D13" i="43" s="1"/>
  <c r="C14" i="43" s="1"/>
  <c r="D14" i="43" s="1"/>
  <c r="C15" i="43" s="1"/>
  <c r="D15" i="43" s="1"/>
  <c r="C16" i="43" s="1"/>
  <c r="D16" i="43" s="1"/>
  <c r="C17" i="43" s="1"/>
  <c r="D17" i="43" s="1"/>
  <c r="C18" i="43" s="1"/>
  <c r="D18" i="43" s="1"/>
  <c r="C19" i="43" s="1"/>
  <c r="D19" i="43" s="1"/>
  <c r="C20" i="43" s="1"/>
  <c r="D20" i="43" s="1"/>
  <c r="D21" i="43"/>
  <c r="D22" i="43"/>
  <c r="D23" i="43"/>
  <c r="D24" i="43"/>
  <c r="D25" i="43"/>
  <c r="D26" i="43"/>
  <c r="D27" i="43"/>
  <c r="D28" i="43"/>
  <c r="D29" i="43"/>
  <c r="K5" i="50" l="1"/>
  <c r="K24" i="50" s="1"/>
  <c r="J24" i="50"/>
  <c r="K14" i="50"/>
  <c r="J42" i="50"/>
  <c r="DJ39" i="73"/>
  <c r="DM39" i="73" s="1"/>
  <c r="DI39" i="73"/>
  <c r="DL39" i="73" s="1"/>
  <c r="DH39" i="73"/>
  <c r="DK39" i="73" s="1"/>
  <c r="DJ38" i="73"/>
  <c r="DM38" i="73" s="1"/>
  <c r="DI38" i="73"/>
  <c r="DL38" i="73" s="1"/>
  <c r="DH38" i="73"/>
  <c r="DK38" i="73" s="1"/>
  <c r="DN38" i="73" s="1"/>
  <c r="AC32" i="25" s="1"/>
  <c r="DJ37" i="73"/>
  <c r="DM37" i="73" s="1"/>
  <c r="DI37" i="73"/>
  <c r="DL37" i="73" s="1"/>
  <c r="DH37" i="73"/>
  <c r="DK37" i="73" s="1"/>
  <c r="DJ36" i="73"/>
  <c r="DM36" i="73" s="1"/>
  <c r="DI36" i="73"/>
  <c r="DL36" i="73" s="1"/>
  <c r="DH36" i="73"/>
  <c r="DK36" i="73" s="1"/>
  <c r="DJ35" i="73"/>
  <c r="DM35" i="73" s="1"/>
  <c r="DI35" i="73"/>
  <c r="DL35" i="73" s="1"/>
  <c r="DH35" i="73"/>
  <c r="DK35" i="73" s="1"/>
  <c r="DL34" i="73"/>
  <c r="DK34" i="73"/>
  <c r="DJ34" i="73"/>
  <c r="DM34" i="73" s="1"/>
  <c r="DI34" i="73"/>
  <c r="DH34" i="73"/>
  <c r="DJ33" i="73"/>
  <c r="DM33" i="73" s="1"/>
  <c r="DI33" i="73"/>
  <c r="DL33" i="73" s="1"/>
  <c r="DH33" i="73"/>
  <c r="DK33" i="73" s="1"/>
  <c r="DJ32" i="73"/>
  <c r="DM32" i="73" s="1"/>
  <c r="DI32" i="73"/>
  <c r="DL32" i="73" s="1"/>
  <c r="DH32" i="73"/>
  <c r="DK32" i="73" s="1"/>
  <c r="DJ31" i="73"/>
  <c r="DM31" i="73" s="1"/>
  <c r="DI31" i="73"/>
  <c r="DL31" i="73" s="1"/>
  <c r="DH31" i="73"/>
  <c r="DK31" i="73" s="1"/>
  <c r="DJ30" i="73"/>
  <c r="DM30" i="73" s="1"/>
  <c r="DI30" i="73"/>
  <c r="DL30" i="73" s="1"/>
  <c r="DH30" i="73"/>
  <c r="DK30" i="73" s="1"/>
  <c r="DN30" i="73" s="1"/>
  <c r="AC24" i="25" s="1"/>
  <c r="DJ29" i="73"/>
  <c r="DM29" i="73" s="1"/>
  <c r="DI29" i="73"/>
  <c r="DL29" i="73" s="1"/>
  <c r="DH29" i="73"/>
  <c r="DK29" i="73" s="1"/>
  <c r="DJ28" i="73"/>
  <c r="DM28" i="73" s="1"/>
  <c r="DI28" i="73"/>
  <c r="DL28" i="73" s="1"/>
  <c r="DH28" i="73"/>
  <c r="DK28" i="73" s="1"/>
  <c r="DJ27" i="73"/>
  <c r="DM27" i="73" s="1"/>
  <c r="DI27" i="73"/>
  <c r="DL27" i="73" s="1"/>
  <c r="DH27" i="73"/>
  <c r="DK27" i="73" s="1"/>
  <c r="DN27" i="73" s="1"/>
  <c r="AC21" i="25" s="1"/>
  <c r="DJ26" i="73"/>
  <c r="DM26" i="73" s="1"/>
  <c r="DI26" i="73"/>
  <c r="DL26" i="73" s="1"/>
  <c r="DH26" i="73"/>
  <c r="DK26" i="73" s="1"/>
  <c r="DN26" i="73" s="1"/>
  <c r="AC20" i="25" s="1"/>
  <c r="DJ25" i="73"/>
  <c r="DM25" i="73" s="1"/>
  <c r="DI25" i="73"/>
  <c r="DL25" i="73" s="1"/>
  <c r="DH25" i="73"/>
  <c r="DK25" i="73" s="1"/>
  <c r="DJ24" i="73"/>
  <c r="DM24" i="73" s="1"/>
  <c r="DI24" i="73"/>
  <c r="DL24" i="73" s="1"/>
  <c r="DH24" i="73"/>
  <c r="DK24" i="73" s="1"/>
  <c r="DJ23" i="73"/>
  <c r="DM23" i="73" s="1"/>
  <c r="DI23" i="73"/>
  <c r="DL23" i="73" s="1"/>
  <c r="DH23" i="73"/>
  <c r="DK23" i="73" s="1"/>
  <c r="DN23" i="73" s="1"/>
  <c r="AC17" i="25" s="1"/>
  <c r="DJ22" i="73"/>
  <c r="DM22" i="73" s="1"/>
  <c r="DI22" i="73"/>
  <c r="DL22" i="73" s="1"/>
  <c r="DH22" i="73"/>
  <c r="DK22" i="73" s="1"/>
  <c r="DJ21" i="73"/>
  <c r="DM21" i="73" s="1"/>
  <c r="DI21" i="73"/>
  <c r="DL21" i="73" s="1"/>
  <c r="DH21" i="73"/>
  <c r="DK21" i="73" s="1"/>
  <c r="DJ20" i="73"/>
  <c r="DM20" i="73" s="1"/>
  <c r="DI20" i="73"/>
  <c r="DL20" i="73" s="1"/>
  <c r="DH20" i="73"/>
  <c r="DK20" i="73" s="1"/>
  <c r="DJ19" i="73"/>
  <c r="DM19" i="73" s="1"/>
  <c r="DI19" i="73"/>
  <c r="DL19" i="73" s="1"/>
  <c r="DH19" i="73"/>
  <c r="DK19" i="73" s="1"/>
  <c r="DJ18" i="73"/>
  <c r="DM18" i="73" s="1"/>
  <c r="DI18" i="73"/>
  <c r="DL18" i="73" s="1"/>
  <c r="DH18" i="73"/>
  <c r="DK18" i="73" s="1"/>
  <c r="DJ17" i="73"/>
  <c r="DM17" i="73" s="1"/>
  <c r="DI17" i="73"/>
  <c r="DL17" i="73" s="1"/>
  <c r="DH17" i="73"/>
  <c r="DK17" i="73" s="1"/>
  <c r="DN17" i="73" s="1"/>
  <c r="AC11" i="25" s="1"/>
  <c r="DJ16" i="73"/>
  <c r="DM16" i="73" s="1"/>
  <c r="DI16" i="73"/>
  <c r="DL16" i="73" s="1"/>
  <c r="DH16" i="73"/>
  <c r="DK16" i="73" s="1"/>
  <c r="DJ15" i="73"/>
  <c r="DM15" i="73" s="1"/>
  <c r="DI15" i="73"/>
  <c r="DL15" i="73" s="1"/>
  <c r="DH15" i="73"/>
  <c r="DK15" i="73" s="1"/>
  <c r="DJ14" i="73"/>
  <c r="DM14" i="73" s="1"/>
  <c r="DI14" i="73"/>
  <c r="DL14" i="73" s="1"/>
  <c r="DH14" i="73"/>
  <c r="DK14" i="73" s="1"/>
  <c r="DL13" i="73"/>
  <c r="DJ13" i="73"/>
  <c r="DM13" i="73" s="1"/>
  <c r="DI13" i="73"/>
  <c r="DH13" i="73"/>
  <c r="DK13" i="73" s="1"/>
  <c r="DJ12" i="73"/>
  <c r="DM12" i="73" s="1"/>
  <c r="DI12" i="73"/>
  <c r="DL12" i="73" s="1"/>
  <c r="DH12" i="73"/>
  <c r="DK12" i="73" s="1"/>
  <c r="DJ11" i="73"/>
  <c r="DM11" i="73" s="1"/>
  <c r="DI11" i="73"/>
  <c r="DL11" i="73" s="1"/>
  <c r="DH11" i="73"/>
  <c r="DK11" i="73" s="1"/>
  <c r="DJ10" i="73"/>
  <c r="DM10" i="73" s="1"/>
  <c r="DI10" i="73"/>
  <c r="DL10" i="73" s="1"/>
  <c r="DH10" i="73"/>
  <c r="DK10" i="73" s="1"/>
  <c r="DJ9" i="73"/>
  <c r="DM9" i="73" s="1"/>
  <c r="DI9" i="73"/>
  <c r="DL9" i="73" s="1"/>
  <c r="DH9" i="73"/>
  <c r="DK9" i="73" s="1"/>
  <c r="DJ38" i="72"/>
  <c r="DM38" i="72" s="1"/>
  <c r="DI38" i="72"/>
  <c r="DL38" i="72" s="1"/>
  <c r="DH38" i="72"/>
  <c r="DK38" i="72" s="1"/>
  <c r="DN38" i="72" s="1"/>
  <c r="X32" i="25" s="1"/>
  <c r="DJ37" i="72"/>
  <c r="DM37" i="72" s="1"/>
  <c r="DI37" i="72"/>
  <c r="DL37" i="72" s="1"/>
  <c r="DH37" i="72"/>
  <c r="DK37" i="72" s="1"/>
  <c r="DJ36" i="72"/>
  <c r="DM36" i="72" s="1"/>
  <c r="DI36" i="72"/>
  <c r="DL36" i="72" s="1"/>
  <c r="DH36" i="72"/>
  <c r="DK36" i="72" s="1"/>
  <c r="DJ35" i="72"/>
  <c r="DM35" i="72" s="1"/>
  <c r="DI35" i="72"/>
  <c r="DL35" i="72" s="1"/>
  <c r="DH35" i="72"/>
  <c r="DK35" i="72" s="1"/>
  <c r="DL34" i="72"/>
  <c r="DJ34" i="72"/>
  <c r="DM34" i="72" s="1"/>
  <c r="DI34" i="72"/>
  <c r="DH34" i="72"/>
  <c r="DK34" i="72" s="1"/>
  <c r="DJ33" i="72"/>
  <c r="DM33" i="72" s="1"/>
  <c r="DI33" i="72"/>
  <c r="DL33" i="72" s="1"/>
  <c r="DH33" i="72"/>
  <c r="DK33" i="72" s="1"/>
  <c r="DJ32" i="72"/>
  <c r="DM32" i="72" s="1"/>
  <c r="DI32" i="72"/>
  <c r="DL32" i="72" s="1"/>
  <c r="DH32" i="72"/>
  <c r="DK32" i="72" s="1"/>
  <c r="DJ31" i="72"/>
  <c r="DM31" i="72" s="1"/>
  <c r="DI31" i="72"/>
  <c r="DL31" i="72" s="1"/>
  <c r="DH31" i="72"/>
  <c r="DK31" i="72" s="1"/>
  <c r="DJ30" i="72"/>
  <c r="DM30" i="72" s="1"/>
  <c r="DI30" i="72"/>
  <c r="DL30" i="72" s="1"/>
  <c r="DH30" i="72"/>
  <c r="DK30" i="72" s="1"/>
  <c r="DJ29" i="72"/>
  <c r="DM29" i="72" s="1"/>
  <c r="DI29" i="72"/>
  <c r="DL29" i="72" s="1"/>
  <c r="DH29" i="72"/>
  <c r="DK29" i="72" s="1"/>
  <c r="DJ28" i="72"/>
  <c r="DM28" i="72" s="1"/>
  <c r="DI28" i="72"/>
  <c r="DL28" i="72" s="1"/>
  <c r="DH28" i="72"/>
  <c r="DK28" i="72" s="1"/>
  <c r="DJ27" i="72"/>
  <c r="DM27" i="72" s="1"/>
  <c r="DI27" i="72"/>
  <c r="DL27" i="72" s="1"/>
  <c r="DH27" i="72"/>
  <c r="DK27" i="72" s="1"/>
  <c r="DJ26" i="72"/>
  <c r="DM26" i="72" s="1"/>
  <c r="DI26" i="72"/>
  <c r="DL26" i="72" s="1"/>
  <c r="DH26" i="72"/>
  <c r="DK26" i="72" s="1"/>
  <c r="DJ25" i="72"/>
  <c r="DM25" i="72" s="1"/>
  <c r="DI25" i="72"/>
  <c r="DL25" i="72" s="1"/>
  <c r="DH25" i="72"/>
  <c r="DK25" i="72" s="1"/>
  <c r="DJ24" i="72"/>
  <c r="DM24" i="72" s="1"/>
  <c r="DI24" i="72"/>
  <c r="DL24" i="72" s="1"/>
  <c r="DH24" i="72"/>
  <c r="DK24" i="72" s="1"/>
  <c r="DJ23" i="72"/>
  <c r="DM23" i="72" s="1"/>
  <c r="DI23" i="72"/>
  <c r="DL23" i="72" s="1"/>
  <c r="DH23" i="72"/>
  <c r="DK23" i="72" s="1"/>
  <c r="DN23" i="72" s="1"/>
  <c r="X17" i="25" s="1"/>
  <c r="DJ22" i="72"/>
  <c r="DM22" i="72" s="1"/>
  <c r="DI22" i="72"/>
  <c r="DL22" i="72" s="1"/>
  <c r="DH22" i="72"/>
  <c r="DK22" i="72" s="1"/>
  <c r="DJ21" i="72"/>
  <c r="DM21" i="72" s="1"/>
  <c r="DI21" i="72"/>
  <c r="DL21" i="72" s="1"/>
  <c r="DH21" i="72"/>
  <c r="DK21" i="72" s="1"/>
  <c r="DJ20" i="72"/>
  <c r="DM20" i="72" s="1"/>
  <c r="DI20" i="72"/>
  <c r="DL20" i="72" s="1"/>
  <c r="DH20" i="72"/>
  <c r="DK20" i="72" s="1"/>
  <c r="DJ19" i="72"/>
  <c r="DM19" i="72" s="1"/>
  <c r="DI19" i="72"/>
  <c r="DL19" i="72" s="1"/>
  <c r="DH19" i="72"/>
  <c r="DK19" i="72" s="1"/>
  <c r="DJ18" i="72"/>
  <c r="DM18" i="72" s="1"/>
  <c r="DI18" i="72"/>
  <c r="DL18" i="72" s="1"/>
  <c r="DH18" i="72"/>
  <c r="DK18" i="72" s="1"/>
  <c r="DK17" i="72"/>
  <c r="DJ17" i="72"/>
  <c r="DM17" i="72" s="1"/>
  <c r="DI17" i="72"/>
  <c r="DL17" i="72" s="1"/>
  <c r="DH17" i="72"/>
  <c r="DJ16" i="72"/>
  <c r="DM16" i="72" s="1"/>
  <c r="DI16" i="72"/>
  <c r="DL16" i="72" s="1"/>
  <c r="DH16" i="72"/>
  <c r="DK16" i="72" s="1"/>
  <c r="DJ15" i="72"/>
  <c r="DM15" i="72" s="1"/>
  <c r="DI15" i="72"/>
  <c r="DL15" i="72" s="1"/>
  <c r="DH15" i="72"/>
  <c r="DK15" i="72" s="1"/>
  <c r="DN15" i="72" s="1"/>
  <c r="X9" i="25" s="1"/>
  <c r="DJ14" i="72"/>
  <c r="DM14" i="72" s="1"/>
  <c r="DI14" i="72"/>
  <c r="DL14" i="72" s="1"/>
  <c r="DH14" i="72"/>
  <c r="DK14" i="72" s="1"/>
  <c r="DJ13" i="72"/>
  <c r="DM13" i="72" s="1"/>
  <c r="DI13" i="72"/>
  <c r="DL13" i="72" s="1"/>
  <c r="DH13" i="72"/>
  <c r="DK13" i="72" s="1"/>
  <c r="DM12" i="72"/>
  <c r="DJ12" i="72"/>
  <c r="DI12" i="72"/>
  <c r="DL12" i="72" s="1"/>
  <c r="DH12" i="72"/>
  <c r="DK12" i="72" s="1"/>
  <c r="DJ11" i="72"/>
  <c r="DM11" i="72" s="1"/>
  <c r="DI11" i="72"/>
  <c r="DL11" i="72" s="1"/>
  <c r="DH11" i="72"/>
  <c r="DK11" i="72" s="1"/>
  <c r="DJ10" i="72"/>
  <c r="DM10" i="72" s="1"/>
  <c r="DI10" i="72"/>
  <c r="DL10" i="72" s="1"/>
  <c r="DH10" i="72"/>
  <c r="DK10" i="72" s="1"/>
  <c r="DJ9" i="72"/>
  <c r="DM9" i="72" s="1"/>
  <c r="DI9" i="72"/>
  <c r="DL9" i="72" s="1"/>
  <c r="DH9" i="72"/>
  <c r="DK9" i="72" s="1"/>
  <c r="DJ39" i="71"/>
  <c r="DM39" i="71" s="1"/>
  <c r="DI39" i="71"/>
  <c r="DL39" i="71" s="1"/>
  <c r="DH39" i="71"/>
  <c r="DK39" i="71" s="1"/>
  <c r="DN39" i="71" s="1"/>
  <c r="S33" i="25" s="1"/>
  <c r="DJ38" i="71"/>
  <c r="DM38" i="71" s="1"/>
  <c r="DI38" i="71"/>
  <c r="DL38" i="71" s="1"/>
  <c r="DH38" i="71"/>
  <c r="DK38" i="71" s="1"/>
  <c r="DJ37" i="71"/>
  <c r="DM37" i="71" s="1"/>
  <c r="DI37" i="71"/>
  <c r="DL37" i="71" s="1"/>
  <c r="DH37" i="71"/>
  <c r="DK37" i="71" s="1"/>
  <c r="DJ36" i="71"/>
  <c r="DM36" i="71" s="1"/>
  <c r="DI36" i="71"/>
  <c r="DL36" i="71" s="1"/>
  <c r="DH36" i="71"/>
  <c r="DK36" i="71" s="1"/>
  <c r="DJ35" i="71"/>
  <c r="DM35" i="71" s="1"/>
  <c r="DI35" i="71"/>
  <c r="DL35" i="71" s="1"/>
  <c r="DH35" i="71"/>
  <c r="DK35" i="71" s="1"/>
  <c r="DN35" i="71" s="1"/>
  <c r="S29" i="25" s="1"/>
  <c r="DJ34" i="71"/>
  <c r="DM34" i="71" s="1"/>
  <c r="DI34" i="71"/>
  <c r="DL34" i="71" s="1"/>
  <c r="DH34" i="71"/>
  <c r="DK34" i="71" s="1"/>
  <c r="DK33" i="71"/>
  <c r="DJ33" i="71"/>
  <c r="DM33" i="71" s="1"/>
  <c r="DI33" i="71"/>
  <c r="DL33" i="71" s="1"/>
  <c r="DH33" i="71"/>
  <c r="DJ32" i="71"/>
  <c r="DM32" i="71" s="1"/>
  <c r="DI32" i="71"/>
  <c r="DL32" i="71" s="1"/>
  <c r="DH32" i="71"/>
  <c r="DK32" i="71" s="1"/>
  <c r="DJ31" i="71"/>
  <c r="DM31" i="71" s="1"/>
  <c r="DI31" i="71"/>
  <c r="DL31" i="71" s="1"/>
  <c r="DH31" i="71"/>
  <c r="DK31" i="71" s="1"/>
  <c r="DJ30" i="71"/>
  <c r="DM30" i="71" s="1"/>
  <c r="DI30" i="71"/>
  <c r="DL30" i="71" s="1"/>
  <c r="DH30" i="71"/>
  <c r="DK30" i="71" s="1"/>
  <c r="DJ29" i="71"/>
  <c r="DM29" i="71" s="1"/>
  <c r="DI29" i="71"/>
  <c r="DL29" i="71" s="1"/>
  <c r="DH29" i="71"/>
  <c r="DK29" i="71" s="1"/>
  <c r="DM28" i="71"/>
  <c r="DJ28" i="71"/>
  <c r="DI28" i="71"/>
  <c r="DL28" i="71" s="1"/>
  <c r="DH28" i="71"/>
  <c r="DK28" i="71" s="1"/>
  <c r="DJ27" i="71"/>
  <c r="DM27" i="71" s="1"/>
  <c r="DI27" i="71"/>
  <c r="DL27" i="71" s="1"/>
  <c r="DH27" i="71"/>
  <c r="DK27" i="71" s="1"/>
  <c r="DJ26" i="71"/>
  <c r="DM26" i="71" s="1"/>
  <c r="DI26" i="71"/>
  <c r="DL26" i="71" s="1"/>
  <c r="DH26" i="71"/>
  <c r="DK26" i="71" s="1"/>
  <c r="DN26" i="71" s="1"/>
  <c r="S20" i="25" s="1"/>
  <c r="DJ25" i="71"/>
  <c r="DM25" i="71" s="1"/>
  <c r="DI25" i="71"/>
  <c r="DL25" i="71" s="1"/>
  <c r="DH25" i="71"/>
  <c r="DK25" i="71" s="1"/>
  <c r="DJ24" i="71"/>
  <c r="DM24" i="71" s="1"/>
  <c r="DI24" i="71"/>
  <c r="DL24" i="71" s="1"/>
  <c r="DH24" i="71"/>
  <c r="DK24" i="71" s="1"/>
  <c r="DJ23" i="71"/>
  <c r="DM23" i="71" s="1"/>
  <c r="DI23" i="71"/>
  <c r="DL23" i="71" s="1"/>
  <c r="DH23" i="71"/>
  <c r="DK23" i="71" s="1"/>
  <c r="DN23" i="71" s="1"/>
  <c r="S17" i="25" s="1"/>
  <c r="DJ22" i="71"/>
  <c r="DM22" i="71" s="1"/>
  <c r="DI22" i="71"/>
  <c r="DL22" i="71" s="1"/>
  <c r="DH22" i="71"/>
  <c r="DK22" i="71" s="1"/>
  <c r="DJ21" i="71"/>
  <c r="DM21" i="71" s="1"/>
  <c r="DI21" i="71"/>
  <c r="DL21" i="71" s="1"/>
  <c r="DH21" i="71"/>
  <c r="DK21" i="71" s="1"/>
  <c r="DM20" i="71"/>
  <c r="DJ20" i="71"/>
  <c r="DI20" i="71"/>
  <c r="DL20" i="71" s="1"/>
  <c r="DH20" i="71"/>
  <c r="DK20" i="71" s="1"/>
  <c r="DJ19" i="71"/>
  <c r="DM19" i="71" s="1"/>
  <c r="DI19" i="71"/>
  <c r="DL19" i="71" s="1"/>
  <c r="DH19" i="71"/>
  <c r="DK19" i="71" s="1"/>
  <c r="DJ18" i="71"/>
  <c r="DM18" i="71" s="1"/>
  <c r="DI18" i="71"/>
  <c r="DL18" i="71" s="1"/>
  <c r="DH18" i="71"/>
  <c r="DK18" i="71" s="1"/>
  <c r="DJ17" i="71"/>
  <c r="DM17" i="71" s="1"/>
  <c r="DI17" i="71"/>
  <c r="DL17" i="71" s="1"/>
  <c r="DH17" i="71"/>
  <c r="DK17" i="71" s="1"/>
  <c r="DJ16" i="71"/>
  <c r="DM16" i="71" s="1"/>
  <c r="DI16" i="71"/>
  <c r="DL16" i="71" s="1"/>
  <c r="DH16" i="71"/>
  <c r="DK16" i="71" s="1"/>
  <c r="DN16" i="71" s="1"/>
  <c r="S10" i="25" s="1"/>
  <c r="DJ15" i="71"/>
  <c r="DM15" i="71" s="1"/>
  <c r="DI15" i="71"/>
  <c r="DL15" i="71" s="1"/>
  <c r="DH15" i="71"/>
  <c r="DK15" i="71" s="1"/>
  <c r="DJ14" i="71"/>
  <c r="DM14" i="71" s="1"/>
  <c r="DI14" i="71"/>
  <c r="DL14" i="71" s="1"/>
  <c r="DH14" i="71"/>
  <c r="DK14" i="71" s="1"/>
  <c r="DM13" i="71"/>
  <c r="DK13" i="71"/>
  <c r="DJ13" i="71"/>
  <c r="DI13" i="71"/>
  <c r="DL13" i="71" s="1"/>
  <c r="DH13" i="71"/>
  <c r="DJ12" i="71"/>
  <c r="DM12" i="71" s="1"/>
  <c r="DI12" i="71"/>
  <c r="DL12" i="71" s="1"/>
  <c r="DH12" i="71"/>
  <c r="DK12" i="71" s="1"/>
  <c r="DJ11" i="71"/>
  <c r="DM11" i="71" s="1"/>
  <c r="DI11" i="71"/>
  <c r="DL11" i="71" s="1"/>
  <c r="DH11" i="71"/>
  <c r="DK11" i="71" s="1"/>
  <c r="DJ10" i="71"/>
  <c r="DM10" i="71" s="1"/>
  <c r="DI10" i="71"/>
  <c r="DL10" i="71" s="1"/>
  <c r="DH10" i="71"/>
  <c r="DK10" i="71" s="1"/>
  <c r="DJ9" i="71"/>
  <c r="DM9" i="71" s="1"/>
  <c r="DI9" i="71"/>
  <c r="DL9" i="71" s="1"/>
  <c r="DH9" i="71"/>
  <c r="DK9" i="71" s="1"/>
  <c r="DJ38" i="70"/>
  <c r="DM38" i="70" s="1"/>
  <c r="DI38" i="70"/>
  <c r="DL38" i="70" s="1"/>
  <c r="DH38" i="70"/>
  <c r="DK38" i="70" s="1"/>
  <c r="DN38" i="70" s="1"/>
  <c r="N32" i="25" s="1"/>
  <c r="DJ37" i="70"/>
  <c r="DM37" i="70" s="1"/>
  <c r="DI37" i="70"/>
  <c r="DL37" i="70" s="1"/>
  <c r="DH37" i="70"/>
  <c r="DK37" i="70" s="1"/>
  <c r="DJ36" i="70"/>
  <c r="DM36" i="70" s="1"/>
  <c r="DI36" i="70"/>
  <c r="DL36" i="70" s="1"/>
  <c r="DH36" i="70"/>
  <c r="DK36" i="70" s="1"/>
  <c r="DM35" i="70"/>
  <c r="DK35" i="70"/>
  <c r="DJ35" i="70"/>
  <c r="DI35" i="70"/>
  <c r="DL35" i="70" s="1"/>
  <c r="DH35" i="70"/>
  <c r="DJ34" i="70"/>
  <c r="DM34" i="70" s="1"/>
  <c r="DI34" i="70"/>
  <c r="DL34" i="70" s="1"/>
  <c r="DH34" i="70"/>
  <c r="DK34" i="70" s="1"/>
  <c r="DJ33" i="70"/>
  <c r="DM33" i="70" s="1"/>
  <c r="DI33" i="70"/>
  <c r="DL33" i="70" s="1"/>
  <c r="DH33" i="70"/>
  <c r="DK33" i="70" s="1"/>
  <c r="DJ32" i="70"/>
  <c r="DM32" i="70" s="1"/>
  <c r="DI32" i="70"/>
  <c r="DL32" i="70" s="1"/>
  <c r="DH32" i="70"/>
  <c r="DK32" i="70" s="1"/>
  <c r="DJ31" i="70"/>
  <c r="DM31" i="70" s="1"/>
  <c r="DI31" i="70"/>
  <c r="DL31" i="70" s="1"/>
  <c r="DH31" i="70"/>
  <c r="DK31" i="70" s="1"/>
  <c r="DJ30" i="70"/>
  <c r="DM30" i="70" s="1"/>
  <c r="DI30" i="70"/>
  <c r="DL30" i="70" s="1"/>
  <c r="DH30" i="70"/>
  <c r="DK30" i="70" s="1"/>
  <c r="DJ29" i="70"/>
  <c r="DM29" i="70" s="1"/>
  <c r="DI29" i="70"/>
  <c r="DL29" i="70" s="1"/>
  <c r="DH29" i="70"/>
  <c r="DK29" i="70" s="1"/>
  <c r="DJ28" i="70"/>
  <c r="DM28" i="70" s="1"/>
  <c r="DI28" i="70"/>
  <c r="DL28" i="70" s="1"/>
  <c r="DH28" i="70"/>
  <c r="DK28" i="70" s="1"/>
  <c r="DJ27" i="70"/>
  <c r="DM27" i="70" s="1"/>
  <c r="DI27" i="70"/>
  <c r="DL27" i="70" s="1"/>
  <c r="DH27" i="70"/>
  <c r="DK27" i="70" s="1"/>
  <c r="DK26" i="70"/>
  <c r="DJ26" i="70"/>
  <c r="DM26" i="70" s="1"/>
  <c r="DI26" i="70"/>
  <c r="DL26" i="70" s="1"/>
  <c r="DH26" i="70"/>
  <c r="DJ25" i="70"/>
  <c r="DM25" i="70" s="1"/>
  <c r="DI25" i="70"/>
  <c r="DL25" i="70" s="1"/>
  <c r="DH25" i="70"/>
  <c r="DK25" i="70" s="1"/>
  <c r="DJ24" i="70"/>
  <c r="DM24" i="70" s="1"/>
  <c r="DI24" i="70"/>
  <c r="DL24" i="70" s="1"/>
  <c r="DH24" i="70"/>
  <c r="DK24" i="70" s="1"/>
  <c r="DJ23" i="70"/>
  <c r="DM23" i="70" s="1"/>
  <c r="DI23" i="70"/>
  <c r="DL23" i="70" s="1"/>
  <c r="DH23" i="70"/>
  <c r="DK23" i="70" s="1"/>
  <c r="DN23" i="70" s="1"/>
  <c r="N17" i="25" s="1"/>
  <c r="DJ22" i="70"/>
  <c r="DM22" i="70" s="1"/>
  <c r="DI22" i="70"/>
  <c r="DL22" i="70" s="1"/>
  <c r="DH22" i="70"/>
  <c r="DK22" i="70" s="1"/>
  <c r="DN22" i="70" s="1"/>
  <c r="N16" i="25" s="1"/>
  <c r="DJ21" i="70"/>
  <c r="DM21" i="70" s="1"/>
  <c r="DI21" i="70"/>
  <c r="DL21" i="70" s="1"/>
  <c r="DH21" i="70"/>
  <c r="DK21" i="70" s="1"/>
  <c r="DJ20" i="70"/>
  <c r="DM20" i="70" s="1"/>
  <c r="DI20" i="70"/>
  <c r="DL20" i="70" s="1"/>
  <c r="DH20" i="70"/>
  <c r="DK20" i="70" s="1"/>
  <c r="DJ19" i="70"/>
  <c r="DM19" i="70" s="1"/>
  <c r="DI19" i="70"/>
  <c r="DL19" i="70" s="1"/>
  <c r="DH19" i="70"/>
  <c r="DK19" i="70" s="1"/>
  <c r="DJ18" i="70"/>
  <c r="DM18" i="70" s="1"/>
  <c r="DI18" i="70"/>
  <c r="DL18" i="70" s="1"/>
  <c r="DH18" i="70"/>
  <c r="DK18" i="70" s="1"/>
  <c r="DJ17" i="70"/>
  <c r="DM17" i="70" s="1"/>
  <c r="DI17" i="70"/>
  <c r="DL17" i="70" s="1"/>
  <c r="DH17" i="70"/>
  <c r="DK17" i="70" s="1"/>
  <c r="DJ16" i="70"/>
  <c r="DM16" i="70" s="1"/>
  <c r="DI16" i="70"/>
  <c r="DL16" i="70" s="1"/>
  <c r="DH16" i="70"/>
  <c r="DK16" i="70" s="1"/>
  <c r="DJ15" i="70"/>
  <c r="DM15" i="70" s="1"/>
  <c r="DI15" i="70"/>
  <c r="DL15" i="70" s="1"/>
  <c r="DH15" i="70"/>
  <c r="DK15" i="70" s="1"/>
  <c r="DN15" i="70" s="1"/>
  <c r="N9" i="25" s="1"/>
  <c r="DJ14" i="70"/>
  <c r="DM14" i="70" s="1"/>
  <c r="DI14" i="70"/>
  <c r="DL14" i="70" s="1"/>
  <c r="DH14" i="70"/>
  <c r="DK14" i="70" s="1"/>
  <c r="DJ13" i="70"/>
  <c r="DM13" i="70" s="1"/>
  <c r="DI13" i="70"/>
  <c r="DL13" i="70" s="1"/>
  <c r="DH13" i="70"/>
  <c r="DK13" i="70" s="1"/>
  <c r="DJ12" i="70"/>
  <c r="DM12" i="70" s="1"/>
  <c r="DI12" i="70"/>
  <c r="DL12" i="70" s="1"/>
  <c r="DH12" i="70"/>
  <c r="DK12" i="70" s="1"/>
  <c r="DJ11" i="70"/>
  <c r="DM11" i="70" s="1"/>
  <c r="DI11" i="70"/>
  <c r="DL11" i="70" s="1"/>
  <c r="DH11" i="70"/>
  <c r="DK11" i="70" s="1"/>
  <c r="DL10" i="70"/>
  <c r="DJ10" i="70"/>
  <c r="DM10" i="70" s="1"/>
  <c r="DI10" i="70"/>
  <c r="DH10" i="70"/>
  <c r="DK10" i="70" s="1"/>
  <c r="DJ9" i="70"/>
  <c r="DM9" i="70" s="1"/>
  <c r="DI9" i="70"/>
  <c r="DL9" i="70" s="1"/>
  <c r="DH9" i="70"/>
  <c r="DK9" i="70" s="1"/>
  <c r="DJ39" i="69"/>
  <c r="DM39" i="69" s="1"/>
  <c r="DI39" i="69"/>
  <c r="DL39" i="69" s="1"/>
  <c r="DH39" i="69"/>
  <c r="DK39" i="69" s="1"/>
  <c r="DJ38" i="69"/>
  <c r="DM38" i="69" s="1"/>
  <c r="DI38" i="69"/>
  <c r="DL38" i="69" s="1"/>
  <c r="DH38" i="69"/>
  <c r="DK38" i="69" s="1"/>
  <c r="DN38" i="69" s="1"/>
  <c r="I32" i="25" s="1"/>
  <c r="DJ37" i="69"/>
  <c r="DM37" i="69" s="1"/>
  <c r="DI37" i="69"/>
  <c r="DL37" i="69" s="1"/>
  <c r="DH37" i="69"/>
  <c r="DK37" i="69" s="1"/>
  <c r="DJ36" i="69"/>
  <c r="DM36" i="69" s="1"/>
  <c r="DI36" i="69"/>
  <c r="DL36" i="69" s="1"/>
  <c r="DH36" i="69"/>
  <c r="DK36" i="69" s="1"/>
  <c r="DL35" i="69"/>
  <c r="DK35" i="69"/>
  <c r="DJ35" i="69"/>
  <c r="DM35" i="69" s="1"/>
  <c r="DI35" i="69"/>
  <c r="DH35" i="69"/>
  <c r="DJ34" i="69"/>
  <c r="DM34" i="69" s="1"/>
  <c r="DI34" i="69"/>
  <c r="DL34" i="69" s="1"/>
  <c r="DH34" i="69"/>
  <c r="DK34" i="69" s="1"/>
  <c r="DK33" i="69"/>
  <c r="DJ33" i="69"/>
  <c r="DM33" i="69" s="1"/>
  <c r="DI33" i="69"/>
  <c r="DL33" i="69" s="1"/>
  <c r="DH33" i="69"/>
  <c r="DJ32" i="69"/>
  <c r="DM32" i="69" s="1"/>
  <c r="DI32" i="69"/>
  <c r="DL32" i="69" s="1"/>
  <c r="DH32" i="69"/>
  <c r="DK32" i="69" s="1"/>
  <c r="DJ31" i="69"/>
  <c r="DM31" i="69" s="1"/>
  <c r="DI31" i="69"/>
  <c r="DL31" i="69" s="1"/>
  <c r="DH31" i="69"/>
  <c r="DK31" i="69" s="1"/>
  <c r="DJ30" i="69"/>
  <c r="DM30" i="69" s="1"/>
  <c r="DI30" i="69"/>
  <c r="DL30" i="69" s="1"/>
  <c r="DH30" i="69"/>
  <c r="DK30" i="69" s="1"/>
  <c r="DJ29" i="69"/>
  <c r="DM29" i="69" s="1"/>
  <c r="DI29" i="69"/>
  <c r="DL29" i="69" s="1"/>
  <c r="DH29" i="69"/>
  <c r="DK29" i="69" s="1"/>
  <c r="DM28" i="69"/>
  <c r="DJ28" i="69"/>
  <c r="DI28" i="69"/>
  <c r="DL28" i="69" s="1"/>
  <c r="DH28" i="69"/>
  <c r="DK28" i="69" s="1"/>
  <c r="DJ27" i="69"/>
  <c r="DM27" i="69" s="1"/>
  <c r="DI27" i="69"/>
  <c r="DL27" i="69" s="1"/>
  <c r="DH27" i="69"/>
  <c r="DK27" i="69" s="1"/>
  <c r="DJ26" i="69"/>
  <c r="DM26" i="69" s="1"/>
  <c r="DI26" i="69"/>
  <c r="DL26" i="69" s="1"/>
  <c r="DH26" i="69"/>
  <c r="DK26" i="69" s="1"/>
  <c r="DK25" i="69"/>
  <c r="DJ25" i="69"/>
  <c r="DM25" i="69" s="1"/>
  <c r="DI25" i="69"/>
  <c r="DL25" i="69" s="1"/>
  <c r="DH25" i="69"/>
  <c r="DJ24" i="69"/>
  <c r="DM24" i="69" s="1"/>
  <c r="DI24" i="69"/>
  <c r="DL24" i="69" s="1"/>
  <c r="DH24" i="69"/>
  <c r="DK24" i="69" s="1"/>
  <c r="DJ23" i="69"/>
  <c r="DM23" i="69" s="1"/>
  <c r="DI23" i="69"/>
  <c r="DL23" i="69" s="1"/>
  <c r="DH23" i="69"/>
  <c r="DK23" i="69" s="1"/>
  <c r="DJ22" i="69"/>
  <c r="DM22" i="69" s="1"/>
  <c r="DI22" i="69"/>
  <c r="DL22" i="69" s="1"/>
  <c r="DH22" i="69"/>
  <c r="DK22" i="69" s="1"/>
  <c r="DJ21" i="69"/>
  <c r="DM21" i="69" s="1"/>
  <c r="DI21" i="69"/>
  <c r="DL21" i="69" s="1"/>
  <c r="DH21" i="69"/>
  <c r="DK21" i="69" s="1"/>
  <c r="DJ20" i="69"/>
  <c r="DM20" i="69" s="1"/>
  <c r="DI20" i="69"/>
  <c r="DL20" i="69" s="1"/>
  <c r="DH20" i="69"/>
  <c r="DK20" i="69" s="1"/>
  <c r="DJ19" i="69"/>
  <c r="DM19" i="69" s="1"/>
  <c r="DI19" i="69"/>
  <c r="DL19" i="69" s="1"/>
  <c r="DH19" i="69"/>
  <c r="DK19" i="69" s="1"/>
  <c r="DL18" i="69"/>
  <c r="DJ18" i="69"/>
  <c r="DM18" i="69" s="1"/>
  <c r="DI18" i="69"/>
  <c r="DH18" i="69"/>
  <c r="DK18" i="69" s="1"/>
  <c r="DJ17" i="69"/>
  <c r="DM17" i="69" s="1"/>
  <c r="DI17" i="69"/>
  <c r="DL17" i="69" s="1"/>
  <c r="DH17" i="69"/>
  <c r="DK17" i="69" s="1"/>
  <c r="DJ16" i="69"/>
  <c r="DM16" i="69" s="1"/>
  <c r="DI16" i="69"/>
  <c r="DL16" i="69" s="1"/>
  <c r="DH16" i="69"/>
  <c r="DK16" i="69" s="1"/>
  <c r="DN16" i="69" s="1"/>
  <c r="I10" i="25" s="1"/>
  <c r="DJ15" i="69"/>
  <c r="DM15" i="69" s="1"/>
  <c r="DI15" i="69"/>
  <c r="DL15" i="69" s="1"/>
  <c r="DH15" i="69"/>
  <c r="DK15" i="69" s="1"/>
  <c r="DJ14" i="69"/>
  <c r="DM14" i="69" s="1"/>
  <c r="DI14" i="69"/>
  <c r="DL14" i="69" s="1"/>
  <c r="DH14" i="69"/>
  <c r="DK14" i="69" s="1"/>
  <c r="DJ13" i="69"/>
  <c r="DM13" i="69" s="1"/>
  <c r="DI13" i="69"/>
  <c r="DL13" i="69" s="1"/>
  <c r="DH13" i="69"/>
  <c r="DK13" i="69" s="1"/>
  <c r="DJ12" i="69"/>
  <c r="DM12" i="69" s="1"/>
  <c r="DI12" i="69"/>
  <c r="DL12" i="69" s="1"/>
  <c r="DH12" i="69"/>
  <c r="DK12" i="69" s="1"/>
  <c r="DJ11" i="69"/>
  <c r="DM11" i="69" s="1"/>
  <c r="DI11" i="69"/>
  <c r="DL11" i="69" s="1"/>
  <c r="DH11" i="69"/>
  <c r="DK11" i="69" s="1"/>
  <c r="DJ10" i="69"/>
  <c r="DM10" i="69" s="1"/>
  <c r="DI10" i="69"/>
  <c r="DL10" i="69" s="1"/>
  <c r="DH10" i="69"/>
  <c r="DK10" i="69" s="1"/>
  <c r="DJ9" i="69"/>
  <c r="DM9" i="69" s="1"/>
  <c r="DI9" i="69"/>
  <c r="DL9" i="69" s="1"/>
  <c r="DH9" i="69"/>
  <c r="DK9" i="69" s="1"/>
  <c r="DN9" i="69" s="1"/>
  <c r="I3" i="25" s="1"/>
  <c r="DM39" i="68"/>
  <c r="DL39" i="68"/>
  <c r="DH39" i="68"/>
  <c r="DK39" i="68" s="1"/>
  <c r="DH38" i="68"/>
  <c r="DK38" i="68" s="1"/>
  <c r="DN38" i="68" s="1"/>
  <c r="DH37" i="68"/>
  <c r="DK37" i="68" s="1"/>
  <c r="DN37" i="68" s="1"/>
  <c r="DJ36" i="68"/>
  <c r="DM36" i="68" s="1"/>
  <c r="DI36" i="68"/>
  <c r="DL36" i="68" s="1"/>
  <c r="DH36" i="68"/>
  <c r="DK36" i="68" s="1"/>
  <c r="DJ35" i="68"/>
  <c r="DM35" i="68" s="1"/>
  <c r="DI35" i="68"/>
  <c r="DL35" i="68" s="1"/>
  <c r="DH35" i="68"/>
  <c r="DK35" i="68" s="1"/>
  <c r="DJ34" i="68"/>
  <c r="DM34" i="68" s="1"/>
  <c r="DI34" i="68"/>
  <c r="DL34" i="68" s="1"/>
  <c r="DH34" i="68"/>
  <c r="DK34" i="68" s="1"/>
  <c r="DJ33" i="68"/>
  <c r="DM33" i="68" s="1"/>
  <c r="DI33" i="68"/>
  <c r="DL33" i="68" s="1"/>
  <c r="DH33" i="68"/>
  <c r="DK33" i="68" s="1"/>
  <c r="DJ32" i="68"/>
  <c r="DM32" i="68" s="1"/>
  <c r="DI32" i="68"/>
  <c r="DL32" i="68" s="1"/>
  <c r="DH32" i="68"/>
  <c r="DK32" i="68" s="1"/>
  <c r="DJ31" i="68"/>
  <c r="DM31" i="68" s="1"/>
  <c r="DI31" i="68"/>
  <c r="DL31" i="68" s="1"/>
  <c r="DH31" i="68"/>
  <c r="DK31" i="68" s="1"/>
  <c r="DJ30" i="68"/>
  <c r="DM30" i="68" s="1"/>
  <c r="DI30" i="68"/>
  <c r="DL30" i="68" s="1"/>
  <c r="DH30" i="68"/>
  <c r="DK30" i="68" s="1"/>
  <c r="DN30" i="68" s="1"/>
  <c r="D24" i="25" s="1"/>
  <c r="DJ29" i="68"/>
  <c r="DM29" i="68" s="1"/>
  <c r="DI29" i="68"/>
  <c r="DL29" i="68" s="1"/>
  <c r="DH29" i="68"/>
  <c r="DK29" i="68" s="1"/>
  <c r="DJ28" i="68"/>
  <c r="DM28" i="68" s="1"/>
  <c r="DI28" i="68"/>
  <c r="DL28" i="68" s="1"/>
  <c r="DH28" i="68"/>
  <c r="DK28" i="68" s="1"/>
  <c r="DJ27" i="68"/>
  <c r="DM27" i="68" s="1"/>
  <c r="DI27" i="68"/>
  <c r="DL27" i="68" s="1"/>
  <c r="DH27" i="68"/>
  <c r="DK27" i="68" s="1"/>
  <c r="DJ26" i="68"/>
  <c r="DM26" i="68" s="1"/>
  <c r="DI26" i="68"/>
  <c r="DL26" i="68" s="1"/>
  <c r="DH26" i="68"/>
  <c r="DK26" i="68" s="1"/>
  <c r="DJ25" i="68"/>
  <c r="DM25" i="68" s="1"/>
  <c r="DI25" i="68"/>
  <c r="DL25" i="68" s="1"/>
  <c r="DH25" i="68"/>
  <c r="DK25" i="68" s="1"/>
  <c r="DJ24" i="68"/>
  <c r="DM24" i="68" s="1"/>
  <c r="DI24" i="68"/>
  <c r="DL24" i="68" s="1"/>
  <c r="DH24" i="68"/>
  <c r="DK24" i="68" s="1"/>
  <c r="DJ23" i="68"/>
  <c r="DM23" i="68" s="1"/>
  <c r="DI23" i="68"/>
  <c r="DL23" i="68" s="1"/>
  <c r="DH23" i="68"/>
  <c r="DK23" i="68" s="1"/>
  <c r="DJ22" i="68"/>
  <c r="DM22" i="68" s="1"/>
  <c r="DI22" i="68"/>
  <c r="DL22" i="68" s="1"/>
  <c r="DH22" i="68"/>
  <c r="DK22" i="68" s="1"/>
  <c r="DJ21" i="68"/>
  <c r="DM21" i="68" s="1"/>
  <c r="DI21" i="68"/>
  <c r="DL21" i="68" s="1"/>
  <c r="DH21" i="68"/>
  <c r="DK21" i="68" s="1"/>
  <c r="DJ20" i="68"/>
  <c r="DM20" i="68" s="1"/>
  <c r="DI20" i="68"/>
  <c r="DL20" i="68" s="1"/>
  <c r="DH20" i="68"/>
  <c r="DK20" i="68" s="1"/>
  <c r="DL19" i="68"/>
  <c r="DK19" i="68"/>
  <c r="DJ19" i="68"/>
  <c r="DM19" i="68" s="1"/>
  <c r="DI19" i="68"/>
  <c r="DH19" i="68"/>
  <c r="DJ18" i="68"/>
  <c r="DM18" i="68" s="1"/>
  <c r="DI18" i="68"/>
  <c r="DL18" i="68" s="1"/>
  <c r="DH18" i="68"/>
  <c r="DK18" i="68" s="1"/>
  <c r="DJ17" i="68"/>
  <c r="DM17" i="68" s="1"/>
  <c r="DI17" i="68"/>
  <c r="DL17" i="68" s="1"/>
  <c r="DH17" i="68"/>
  <c r="DK17" i="68" s="1"/>
  <c r="DJ16" i="68"/>
  <c r="DM16" i="68" s="1"/>
  <c r="DI16" i="68"/>
  <c r="DL16" i="68" s="1"/>
  <c r="DH16" i="68"/>
  <c r="DK16" i="68" s="1"/>
  <c r="DN16" i="68" s="1"/>
  <c r="D10" i="25" s="1"/>
  <c r="DJ15" i="68"/>
  <c r="DM15" i="68" s="1"/>
  <c r="DI15" i="68"/>
  <c r="DL15" i="68" s="1"/>
  <c r="DH15" i="68"/>
  <c r="DK15" i="68" s="1"/>
  <c r="DJ14" i="68"/>
  <c r="DM14" i="68" s="1"/>
  <c r="DI14" i="68"/>
  <c r="DL14" i="68" s="1"/>
  <c r="DH14" i="68"/>
  <c r="DK14" i="68" s="1"/>
  <c r="DJ13" i="68"/>
  <c r="DM13" i="68" s="1"/>
  <c r="DI13" i="68"/>
  <c r="DL13" i="68" s="1"/>
  <c r="DH13" i="68"/>
  <c r="DK13" i="68" s="1"/>
  <c r="DJ12" i="68"/>
  <c r="DM12" i="68" s="1"/>
  <c r="DI12" i="68"/>
  <c r="DL12" i="68" s="1"/>
  <c r="DH12" i="68"/>
  <c r="DK12" i="68" s="1"/>
  <c r="DJ11" i="68"/>
  <c r="DM11" i="68" s="1"/>
  <c r="DI11" i="68"/>
  <c r="DL11" i="68" s="1"/>
  <c r="DH11" i="68"/>
  <c r="DK11" i="68" s="1"/>
  <c r="DJ10" i="68"/>
  <c r="DM10" i="68" s="1"/>
  <c r="DI10" i="68"/>
  <c r="DL10" i="68" s="1"/>
  <c r="DH10" i="68"/>
  <c r="DK10" i="68" s="1"/>
  <c r="DJ9" i="68"/>
  <c r="DM9" i="68" s="1"/>
  <c r="DI9" i="68"/>
  <c r="DL9" i="68" s="1"/>
  <c r="DH9" i="68"/>
  <c r="DK9" i="68" s="1"/>
  <c r="DJ39" i="67"/>
  <c r="DM39" i="67" s="1"/>
  <c r="DI39" i="67"/>
  <c r="DL39" i="67" s="1"/>
  <c r="DH39" i="67"/>
  <c r="DK39" i="67" s="1"/>
  <c r="DJ38" i="67"/>
  <c r="DM38" i="67" s="1"/>
  <c r="DI38" i="67"/>
  <c r="DL38" i="67" s="1"/>
  <c r="DH38" i="67"/>
  <c r="DK38" i="67" s="1"/>
  <c r="DJ37" i="67"/>
  <c r="DM37" i="67" s="1"/>
  <c r="DI37" i="67"/>
  <c r="DL37" i="67" s="1"/>
  <c r="DH37" i="67"/>
  <c r="DK37" i="67" s="1"/>
  <c r="DM36" i="67"/>
  <c r="DJ36" i="67"/>
  <c r="DI36" i="67"/>
  <c r="DL36" i="67" s="1"/>
  <c r="DH36" i="67"/>
  <c r="DK36" i="67" s="1"/>
  <c r="DJ35" i="67"/>
  <c r="DM35" i="67" s="1"/>
  <c r="DI35" i="67"/>
  <c r="DL35" i="67" s="1"/>
  <c r="DH35" i="67"/>
  <c r="DK35" i="67" s="1"/>
  <c r="DJ34" i="67"/>
  <c r="DM34" i="67" s="1"/>
  <c r="DI34" i="67"/>
  <c r="DL34" i="67" s="1"/>
  <c r="DH34" i="67"/>
  <c r="DK34" i="67" s="1"/>
  <c r="DJ33" i="67"/>
  <c r="DM33" i="67" s="1"/>
  <c r="DI33" i="67"/>
  <c r="DL33" i="67" s="1"/>
  <c r="DH33" i="67"/>
  <c r="DK33" i="67" s="1"/>
  <c r="DJ32" i="67"/>
  <c r="DM32" i="67" s="1"/>
  <c r="DI32" i="67"/>
  <c r="DL32" i="67" s="1"/>
  <c r="DH32" i="67"/>
  <c r="DK32" i="67" s="1"/>
  <c r="DJ31" i="67"/>
  <c r="DM31" i="67" s="1"/>
  <c r="DI31" i="67"/>
  <c r="DL31" i="67" s="1"/>
  <c r="DH31" i="67"/>
  <c r="DK31" i="67" s="1"/>
  <c r="DJ30" i="67"/>
  <c r="DM30" i="67" s="1"/>
  <c r="DI30" i="67"/>
  <c r="DL30" i="67" s="1"/>
  <c r="DH30" i="67"/>
  <c r="DK30" i="67" s="1"/>
  <c r="DJ29" i="67"/>
  <c r="DM29" i="67" s="1"/>
  <c r="DI29" i="67"/>
  <c r="DL29" i="67" s="1"/>
  <c r="DH29" i="67"/>
  <c r="DK29" i="67" s="1"/>
  <c r="DJ28" i="67"/>
  <c r="DM28" i="67" s="1"/>
  <c r="DI28" i="67"/>
  <c r="DL28" i="67" s="1"/>
  <c r="DH28" i="67"/>
  <c r="DK28" i="67" s="1"/>
  <c r="DK27" i="67"/>
  <c r="DJ27" i="67"/>
  <c r="DM27" i="67" s="1"/>
  <c r="DI27" i="67"/>
  <c r="DL27" i="67" s="1"/>
  <c r="DH27" i="67"/>
  <c r="DJ26" i="67"/>
  <c r="DM26" i="67" s="1"/>
  <c r="DI26" i="67"/>
  <c r="DL26" i="67" s="1"/>
  <c r="DH26" i="67"/>
  <c r="DK26" i="67" s="1"/>
  <c r="DK25" i="67"/>
  <c r="DJ25" i="67"/>
  <c r="DM25" i="67" s="1"/>
  <c r="DI25" i="67"/>
  <c r="DL25" i="67" s="1"/>
  <c r="DH25" i="67"/>
  <c r="DJ24" i="67"/>
  <c r="DM24" i="67" s="1"/>
  <c r="DI24" i="67"/>
  <c r="DL24" i="67" s="1"/>
  <c r="DH24" i="67"/>
  <c r="DK24" i="67" s="1"/>
  <c r="DJ23" i="67"/>
  <c r="DM23" i="67" s="1"/>
  <c r="DI23" i="67"/>
  <c r="DL23" i="67" s="1"/>
  <c r="DH23" i="67"/>
  <c r="DK23" i="67" s="1"/>
  <c r="DJ22" i="67"/>
  <c r="DM22" i="67" s="1"/>
  <c r="DI22" i="67"/>
  <c r="DL22" i="67" s="1"/>
  <c r="DH22" i="67"/>
  <c r="DK22" i="67" s="1"/>
  <c r="DJ21" i="67"/>
  <c r="DM21" i="67" s="1"/>
  <c r="DI21" i="67"/>
  <c r="DL21" i="67" s="1"/>
  <c r="DH21" i="67"/>
  <c r="DK21" i="67" s="1"/>
  <c r="DM20" i="67"/>
  <c r="DJ20" i="67"/>
  <c r="DI20" i="67"/>
  <c r="DL20" i="67" s="1"/>
  <c r="DH20" i="67"/>
  <c r="DK20" i="67" s="1"/>
  <c r="DJ19" i="67"/>
  <c r="DM19" i="67" s="1"/>
  <c r="DI19" i="67"/>
  <c r="DL19" i="67" s="1"/>
  <c r="DH19" i="67"/>
  <c r="DK19" i="67" s="1"/>
  <c r="DJ18" i="67"/>
  <c r="DM18" i="67" s="1"/>
  <c r="DI18" i="67"/>
  <c r="DL18" i="67" s="1"/>
  <c r="DH18" i="67"/>
  <c r="DK18" i="67" s="1"/>
  <c r="DJ17" i="67"/>
  <c r="DM17" i="67" s="1"/>
  <c r="DI17" i="67"/>
  <c r="DL17" i="67" s="1"/>
  <c r="DH17" i="67"/>
  <c r="DK17" i="67" s="1"/>
  <c r="DJ16" i="67"/>
  <c r="DM16" i="67" s="1"/>
  <c r="DI16" i="67"/>
  <c r="DL16" i="67" s="1"/>
  <c r="DH16" i="67"/>
  <c r="DK16" i="67" s="1"/>
  <c r="DJ15" i="67"/>
  <c r="DM15" i="67" s="1"/>
  <c r="DI15" i="67"/>
  <c r="DL15" i="67" s="1"/>
  <c r="DH15" i="67"/>
  <c r="DK15" i="67" s="1"/>
  <c r="DJ14" i="67"/>
  <c r="DM14" i="67" s="1"/>
  <c r="DI14" i="67"/>
  <c r="DL14" i="67" s="1"/>
  <c r="DH14" i="67"/>
  <c r="DK14" i="67" s="1"/>
  <c r="DJ13" i="67"/>
  <c r="DM13" i="67" s="1"/>
  <c r="DI13" i="67"/>
  <c r="DL13" i="67" s="1"/>
  <c r="DH13" i="67"/>
  <c r="DK13" i="67" s="1"/>
  <c r="DJ12" i="67"/>
  <c r="DM12" i="67" s="1"/>
  <c r="DI12" i="67"/>
  <c r="DL12" i="67" s="1"/>
  <c r="DH12" i="67"/>
  <c r="DK12" i="67" s="1"/>
  <c r="DJ11" i="67"/>
  <c r="DM11" i="67" s="1"/>
  <c r="DI11" i="67"/>
  <c r="DL11" i="67" s="1"/>
  <c r="DH11" i="67"/>
  <c r="DK11" i="67" s="1"/>
  <c r="DN11" i="67" s="1"/>
  <c r="AC5" i="24" s="1"/>
  <c r="DJ10" i="67"/>
  <c r="DM10" i="67" s="1"/>
  <c r="DI10" i="67"/>
  <c r="DL10" i="67" s="1"/>
  <c r="DH10" i="67"/>
  <c r="DK10" i="67" s="1"/>
  <c r="DK9" i="67"/>
  <c r="DJ9" i="67"/>
  <c r="DM9" i="67" s="1"/>
  <c r="DI9" i="67"/>
  <c r="DL9" i="67" s="1"/>
  <c r="DH9" i="67"/>
  <c r="DH39" i="66"/>
  <c r="DK39" i="66" s="1"/>
  <c r="DI39" i="66"/>
  <c r="DL39" i="66" s="1"/>
  <c r="DJ39" i="66"/>
  <c r="DM39" i="66" s="1"/>
  <c r="DJ38" i="66"/>
  <c r="DM38" i="66" s="1"/>
  <c r="DI38" i="66"/>
  <c r="DL38" i="66" s="1"/>
  <c r="DH38" i="66"/>
  <c r="DK38" i="66" s="1"/>
  <c r="DN38" i="66" s="1"/>
  <c r="DJ37" i="66"/>
  <c r="DM37" i="66" s="1"/>
  <c r="DI37" i="66"/>
  <c r="DL37" i="66" s="1"/>
  <c r="DH37" i="66"/>
  <c r="DK37" i="66" s="1"/>
  <c r="DN37" i="66" s="1"/>
  <c r="DJ36" i="66"/>
  <c r="DM36" i="66" s="1"/>
  <c r="DI36" i="66"/>
  <c r="DL36" i="66" s="1"/>
  <c r="DH36" i="66"/>
  <c r="DK36" i="66" s="1"/>
  <c r="DJ35" i="66"/>
  <c r="DM35" i="66" s="1"/>
  <c r="DI35" i="66"/>
  <c r="DL35" i="66" s="1"/>
  <c r="DH35" i="66"/>
  <c r="DK35" i="66" s="1"/>
  <c r="DJ34" i="66"/>
  <c r="DM34" i="66" s="1"/>
  <c r="DI34" i="66"/>
  <c r="DL34" i="66" s="1"/>
  <c r="DH34" i="66"/>
  <c r="DK34" i="66" s="1"/>
  <c r="DL33" i="66"/>
  <c r="DJ33" i="66"/>
  <c r="DM33" i="66" s="1"/>
  <c r="DI33" i="66"/>
  <c r="DH33" i="66"/>
  <c r="DK33" i="66" s="1"/>
  <c r="DJ32" i="66"/>
  <c r="DM32" i="66" s="1"/>
  <c r="DI32" i="66"/>
  <c r="DL32" i="66" s="1"/>
  <c r="DH32" i="66"/>
  <c r="DK32" i="66" s="1"/>
  <c r="DJ31" i="66"/>
  <c r="DM31" i="66" s="1"/>
  <c r="DI31" i="66"/>
  <c r="DL31" i="66" s="1"/>
  <c r="DH31" i="66"/>
  <c r="DK31" i="66" s="1"/>
  <c r="DJ30" i="66"/>
  <c r="DM30" i="66" s="1"/>
  <c r="DI30" i="66"/>
  <c r="DL30" i="66" s="1"/>
  <c r="DH30" i="66"/>
  <c r="DK30" i="66" s="1"/>
  <c r="DJ29" i="66"/>
  <c r="DM29" i="66" s="1"/>
  <c r="DI29" i="66"/>
  <c r="DL29" i="66" s="1"/>
  <c r="DH29" i="66"/>
  <c r="DK29" i="66" s="1"/>
  <c r="DJ28" i="66"/>
  <c r="DM28" i="66" s="1"/>
  <c r="DI28" i="66"/>
  <c r="DL28" i="66" s="1"/>
  <c r="DH28" i="66"/>
  <c r="DK28" i="66" s="1"/>
  <c r="DJ27" i="66"/>
  <c r="DM27" i="66" s="1"/>
  <c r="DI27" i="66"/>
  <c r="DL27" i="66" s="1"/>
  <c r="DH27" i="66"/>
  <c r="DK27" i="66" s="1"/>
  <c r="DM26" i="66"/>
  <c r="DL26" i="66"/>
  <c r="DK26" i="66"/>
  <c r="DJ26" i="66"/>
  <c r="DI26" i="66"/>
  <c r="DH26" i="66"/>
  <c r="DJ25" i="66"/>
  <c r="DM25" i="66" s="1"/>
  <c r="DI25" i="66"/>
  <c r="DL25" i="66" s="1"/>
  <c r="DH25" i="66"/>
  <c r="DK25" i="66" s="1"/>
  <c r="DJ24" i="66"/>
  <c r="DM24" i="66" s="1"/>
  <c r="DI24" i="66"/>
  <c r="DL24" i="66" s="1"/>
  <c r="DH24" i="66"/>
  <c r="DK24" i="66" s="1"/>
  <c r="DJ23" i="66"/>
  <c r="DM23" i="66" s="1"/>
  <c r="DI23" i="66"/>
  <c r="DL23" i="66" s="1"/>
  <c r="DH23" i="66"/>
  <c r="DK23" i="66" s="1"/>
  <c r="DJ22" i="66"/>
  <c r="DM22" i="66" s="1"/>
  <c r="DI22" i="66"/>
  <c r="DL22" i="66" s="1"/>
  <c r="DH22" i="66"/>
  <c r="DK22" i="66" s="1"/>
  <c r="DJ21" i="66"/>
  <c r="DM21" i="66" s="1"/>
  <c r="DI21" i="66"/>
  <c r="DL21" i="66" s="1"/>
  <c r="DH21" i="66"/>
  <c r="DK21" i="66" s="1"/>
  <c r="DJ20" i="66"/>
  <c r="DM20" i="66" s="1"/>
  <c r="DI20" i="66"/>
  <c r="DL20" i="66" s="1"/>
  <c r="DH20" i="66"/>
  <c r="DK20" i="66" s="1"/>
  <c r="DJ19" i="66"/>
  <c r="DM19" i="66" s="1"/>
  <c r="DI19" i="66"/>
  <c r="DL19" i="66" s="1"/>
  <c r="DH19" i="66"/>
  <c r="DK19" i="66" s="1"/>
  <c r="DJ18" i="66"/>
  <c r="DM18" i="66" s="1"/>
  <c r="DI18" i="66"/>
  <c r="DL18" i="66" s="1"/>
  <c r="DH18" i="66"/>
  <c r="DK18" i="66" s="1"/>
  <c r="DN18" i="66" s="1"/>
  <c r="DL17" i="66"/>
  <c r="DJ17" i="66"/>
  <c r="DM17" i="66" s="1"/>
  <c r="DI17" i="66"/>
  <c r="DH17" i="66"/>
  <c r="DK17" i="66" s="1"/>
  <c r="DJ16" i="66"/>
  <c r="DM16" i="66" s="1"/>
  <c r="DI16" i="66"/>
  <c r="DL16" i="66" s="1"/>
  <c r="DH16" i="66"/>
  <c r="DK16" i="66" s="1"/>
  <c r="DJ15" i="66"/>
  <c r="DM15" i="66" s="1"/>
  <c r="DI15" i="66"/>
  <c r="DL15" i="66" s="1"/>
  <c r="DH15" i="66"/>
  <c r="DK15" i="66" s="1"/>
  <c r="DJ14" i="66"/>
  <c r="DM14" i="66" s="1"/>
  <c r="DI14" i="66"/>
  <c r="DL14" i="66" s="1"/>
  <c r="DH14" i="66"/>
  <c r="DK14" i="66" s="1"/>
  <c r="DL13" i="66"/>
  <c r="DJ13" i="66"/>
  <c r="DM13" i="66" s="1"/>
  <c r="DI13" i="66"/>
  <c r="DH13" i="66"/>
  <c r="DK13" i="66" s="1"/>
  <c r="DM12" i="66"/>
  <c r="DJ12" i="66"/>
  <c r="DI12" i="66"/>
  <c r="DL12" i="66" s="1"/>
  <c r="DH12" i="66"/>
  <c r="DK12" i="66" s="1"/>
  <c r="DJ11" i="66"/>
  <c r="DM11" i="66" s="1"/>
  <c r="DI11" i="66"/>
  <c r="DL11" i="66" s="1"/>
  <c r="DN11" i="66" s="1"/>
  <c r="DH11" i="66"/>
  <c r="DK11" i="66" s="1"/>
  <c r="DM10" i="66"/>
  <c r="DL10" i="66"/>
  <c r="DJ10" i="66"/>
  <c r="DI10" i="66"/>
  <c r="DH10" i="66"/>
  <c r="DK10" i="66" s="1"/>
  <c r="DN10" i="66" s="1"/>
  <c r="DJ9" i="66"/>
  <c r="DM9" i="66" s="1"/>
  <c r="DI9" i="66"/>
  <c r="DL9" i="66" s="1"/>
  <c r="DH9" i="66"/>
  <c r="DK9" i="66" s="1"/>
  <c r="DM39" i="65"/>
  <c r="DL39" i="65"/>
  <c r="DH39" i="65"/>
  <c r="DK39" i="65" s="1"/>
  <c r="DJ38" i="65"/>
  <c r="DM38" i="65" s="1"/>
  <c r="DI38" i="65"/>
  <c r="DL38" i="65" s="1"/>
  <c r="DH38" i="65"/>
  <c r="DK38" i="65" s="1"/>
  <c r="DJ37" i="65"/>
  <c r="DM37" i="65" s="1"/>
  <c r="DI37" i="65"/>
  <c r="DL37" i="65" s="1"/>
  <c r="DH37" i="65"/>
  <c r="DK37" i="65" s="1"/>
  <c r="DJ36" i="65"/>
  <c r="DM36" i="65" s="1"/>
  <c r="DI36" i="65"/>
  <c r="DL36" i="65" s="1"/>
  <c r="DH36" i="65"/>
  <c r="DK36" i="65" s="1"/>
  <c r="DJ35" i="65"/>
  <c r="DM35" i="65" s="1"/>
  <c r="DI35" i="65"/>
  <c r="DL35" i="65" s="1"/>
  <c r="DH35" i="65"/>
  <c r="DK35" i="65" s="1"/>
  <c r="DL34" i="65"/>
  <c r="DJ34" i="65"/>
  <c r="DM34" i="65" s="1"/>
  <c r="DI34" i="65"/>
  <c r="DH34" i="65"/>
  <c r="DK34" i="65" s="1"/>
  <c r="DJ33" i="65"/>
  <c r="DM33" i="65" s="1"/>
  <c r="DI33" i="65"/>
  <c r="DL33" i="65" s="1"/>
  <c r="DH33" i="65"/>
  <c r="DK33" i="65" s="1"/>
  <c r="DJ32" i="65"/>
  <c r="DM32" i="65" s="1"/>
  <c r="DI32" i="65"/>
  <c r="DL32" i="65" s="1"/>
  <c r="DH32" i="65"/>
  <c r="DK32" i="65" s="1"/>
  <c r="DJ31" i="65"/>
  <c r="DM31" i="65" s="1"/>
  <c r="DI31" i="65"/>
  <c r="DL31" i="65" s="1"/>
  <c r="DH31" i="65"/>
  <c r="DK31" i="65" s="1"/>
  <c r="DJ30" i="65"/>
  <c r="DM30" i="65" s="1"/>
  <c r="DI30" i="65"/>
  <c r="DL30" i="65" s="1"/>
  <c r="DH30" i="65"/>
  <c r="DK30" i="65" s="1"/>
  <c r="DM29" i="65"/>
  <c r="DJ29" i="65"/>
  <c r="DI29" i="65"/>
  <c r="DL29" i="65" s="1"/>
  <c r="DH29" i="65"/>
  <c r="DK29" i="65" s="1"/>
  <c r="DJ28" i="65"/>
  <c r="DM28" i="65" s="1"/>
  <c r="DI28" i="65"/>
  <c r="DL28" i="65" s="1"/>
  <c r="DH28" i="65"/>
  <c r="DK28" i="65" s="1"/>
  <c r="DJ27" i="65"/>
  <c r="DM27" i="65" s="1"/>
  <c r="DI27" i="65"/>
  <c r="DL27" i="65" s="1"/>
  <c r="DH27" i="65"/>
  <c r="DK27" i="65" s="1"/>
  <c r="DL26" i="65"/>
  <c r="DJ26" i="65"/>
  <c r="DM26" i="65" s="1"/>
  <c r="DI26" i="65"/>
  <c r="DH26" i="65"/>
  <c r="DK26" i="65" s="1"/>
  <c r="DJ25" i="65"/>
  <c r="DM25" i="65" s="1"/>
  <c r="DI25" i="65"/>
  <c r="DL25" i="65" s="1"/>
  <c r="DH25" i="65"/>
  <c r="DK25" i="65" s="1"/>
  <c r="DJ24" i="65"/>
  <c r="DM24" i="65" s="1"/>
  <c r="DI24" i="65"/>
  <c r="DL24" i="65" s="1"/>
  <c r="DH24" i="65"/>
  <c r="DK24" i="65" s="1"/>
  <c r="DJ23" i="65"/>
  <c r="DM23" i="65" s="1"/>
  <c r="DI23" i="65"/>
  <c r="DL23" i="65" s="1"/>
  <c r="DH23" i="65"/>
  <c r="DK23" i="65" s="1"/>
  <c r="DJ22" i="65"/>
  <c r="DM22" i="65" s="1"/>
  <c r="DI22" i="65"/>
  <c r="DL22" i="65" s="1"/>
  <c r="DH22" i="65"/>
  <c r="DK22" i="65" s="1"/>
  <c r="DJ21" i="65"/>
  <c r="DM21" i="65" s="1"/>
  <c r="DI21" i="65"/>
  <c r="DL21" i="65" s="1"/>
  <c r="DH21" i="65"/>
  <c r="DK21" i="65" s="1"/>
  <c r="DJ20" i="65"/>
  <c r="DM20" i="65" s="1"/>
  <c r="DI20" i="65"/>
  <c r="DL20" i="65" s="1"/>
  <c r="DH20" i="65"/>
  <c r="DK20" i="65" s="1"/>
  <c r="DJ19" i="65"/>
  <c r="DM19" i="65" s="1"/>
  <c r="DI19" i="65"/>
  <c r="DL19" i="65" s="1"/>
  <c r="DH19" i="65"/>
  <c r="DK19" i="65" s="1"/>
  <c r="DJ18" i="65"/>
  <c r="DM18" i="65" s="1"/>
  <c r="DI18" i="65"/>
  <c r="DL18" i="65" s="1"/>
  <c r="DH18" i="65"/>
  <c r="DK18" i="65" s="1"/>
  <c r="DJ17" i="65"/>
  <c r="DM17" i="65" s="1"/>
  <c r="DI17" i="65"/>
  <c r="DL17" i="65" s="1"/>
  <c r="DH17" i="65"/>
  <c r="DK17" i="65" s="1"/>
  <c r="DJ16" i="65"/>
  <c r="DM16" i="65" s="1"/>
  <c r="DI16" i="65"/>
  <c r="DL16" i="65" s="1"/>
  <c r="DH16" i="65"/>
  <c r="DK16" i="65" s="1"/>
  <c r="DJ15" i="65"/>
  <c r="DM15" i="65" s="1"/>
  <c r="DI15" i="65"/>
  <c r="DL15" i="65" s="1"/>
  <c r="DH15" i="65"/>
  <c r="DK15" i="65" s="1"/>
  <c r="DJ14" i="65"/>
  <c r="DM14" i="65" s="1"/>
  <c r="DI14" i="65"/>
  <c r="DL14" i="65" s="1"/>
  <c r="DH14" i="65"/>
  <c r="DK14" i="65" s="1"/>
  <c r="DJ13" i="65"/>
  <c r="DM13" i="65" s="1"/>
  <c r="DI13" i="65"/>
  <c r="DL13" i="65" s="1"/>
  <c r="DH13" i="65"/>
  <c r="DK13" i="65" s="1"/>
  <c r="DL12" i="65"/>
  <c r="DJ12" i="65"/>
  <c r="DM12" i="65" s="1"/>
  <c r="DI12" i="65"/>
  <c r="DH12" i="65"/>
  <c r="DK12" i="65" s="1"/>
  <c r="DJ11" i="65"/>
  <c r="DM11" i="65" s="1"/>
  <c r="DI11" i="65"/>
  <c r="DL11" i="65" s="1"/>
  <c r="DH11" i="65"/>
  <c r="DK11" i="65" s="1"/>
  <c r="DJ10" i="65"/>
  <c r="DM10" i="65" s="1"/>
  <c r="DI10" i="65"/>
  <c r="DL10" i="65" s="1"/>
  <c r="DH10" i="65"/>
  <c r="DK10" i="65" s="1"/>
  <c r="DJ9" i="65"/>
  <c r="DM9" i="65" s="1"/>
  <c r="DI9" i="65"/>
  <c r="DL9" i="65" s="1"/>
  <c r="DH9" i="65"/>
  <c r="DK9" i="65" s="1"/>
  <c r="DH9" i="64"/>
  <c r="DK9" i="64" s="1"/>
  <c r="DJ39" i="64"/>
  <c r="DM39" i="64" s="1"/>
  <c r="DI39" i="64"/>
  <c r="DL39" i="64" s="1"/>
  <c r="DH39" i="64"/>
  <c r="DK39" i="64" s="1"/>
  <c r="DJ38" i="64"/>
  <c r="DM38" i="64" s="1"/>
  <c r="DI38" i="64"/>
  <c r="DL38" i="64" s="1"/>
  <c r="DH38" i="64"/>
  <c r="DK38" i="64" s="1"/>
  <c r="DJ37" i="64"/>
  <c r="DM37" i="64" s="1"/>
  <c r="DI37" i="64"/>
  <c r="DL37" i="64" s="1"/>
  <c r="DH37" i="64"/>
  <c r="DK37" i="64" s="1"/>
  <c r="DN37" i="64" s="1"/>
  <c r="N31" i="24" s="1"/>
  <c r="DJ36" i="64"/>
  <c r="DM36" i="64" s="1"/>
  <c r="DI36" i="64"/>
  <c r="DL36" i="64" s="1"/>
  <c r="DH36" i="64"/>
  <c r="DK36" i="64" s="1"/>
  <c r="DJ35" i="64"/>
  <c r="DM35" i="64" s="1"/>
  <c r="DI35" i="64"/>
  <c r="DL35" i="64" s="1"/>
  <c r="DH35" i="64"/>
  <c r="DK35" i="64" s="1"/>
  <c r="DJ34" i="64"/>
  <c r="DM34" i="64" s="1"/>
  <c r="DI34" i="64"/>
  <c r="DL34" i="64" s="1"/>
  <c r="DH34" i="64"/>
  <c r="DK34" i="64" s="1"/>
  <c r="DJ33" i="64"/>
  <c r="DM33" i="64" s="1"/>
  <c r="DI33" i="64"/>
  <c r="DL33" i="64" s="1"/>
  <c r="DH33" i="64"/>
  <c r="DK33" i="64" s="1"/>
  <c r="DJ32" i="64"/>
  <c r="DM32" i="64" s="1"/>
  <c r="DI32" i="64"/>
  <c r="DL32" i="64" s="1"/>
  <c r="DH32" i="64"/>
  <c r="DK32" i="64" s="1"/>
  <c r="DJ31" i="64"/>
  <c r="DM31" i="64" s="1"/>
  <c r="DI31" i="64"/>
  <c r="DL31" i="64" s="1"/>
  <c r="DH31" i="64"/>
  <c r="DK31" i="64" s="1"/>
  <c r="DN31" i="64" s="1"/>
  <c r="N25" i="24" s="1"/>
  <c r="DK30" i="64"/>
  <c r="DJ30" i="64"/>
  <c r="DM30" i="64" s="1"/>
  <c r="DI30" i="64"/>
  <c r="DL30" i="64" s="1"/>
  <c r="DH30" i="64"/>
  <c r="DJ29" i="64"/>
  <c r="DM29" i="64" s="1"/>
  <c r="DI29" i="64"/>
  <c r="DL29" i="64" s="1"/>
  <c r="DH29" i="64"/>
  <c r="DK29" i="64" s="1"/>
  <c r="DJ28" i="64"/>
  <c r="DM28" i="64" s="1"/>
  <c r="DI28" i="64"/>
  <c r="DL28" i="64" s="1"/>
  <c r="DH28" i="64"/>
  <c r="DK28" i="64" s="1"/>
  <c r="DJ27" i="64"/>
  <c r="DM27" i="64" s="1"/>
  <c r="DI27" i="64"/>
  <c r="DL27" i="64" s="1"/>
  <c r="DH27" i="64"/>
  <c r="DK27" i="64" s="1"/>
  <c r="DJ26" i="64"/>
  <c r="DM26" i="64" s="1"/>
  <c r="DI26" i="64"/>
  <c r="DL26" i="64" s="1"/>
  <c r="DH26" i="64"/>
  <c r="DK26" i="64" s="1"/>
  <c r="DJ25" i="64"/>
  <c r="DM25" i="64" s="1"/>
  <c r="DI25" i="64"/>
  <c r="DL25" i="64" s="1"/>
  <c r="DH25" i="64"/>
  <c r="DK25" i="64" s="1"/>
  <c r="DJ24" i="64"/>
  <c r="DM24" i="64" s="1"/>
  <c r="DI24" i="64"/>
  <c r="DL24" i="64" s="1"/>
  <c r="DH24" i="64"/>
  <c r="DK24" i="64" s="1"/>
  <c r="DK23" i="64"/>
  <c r="DJ23" i="64"/>
  <c r="DM23" i="64" s="1"/>
  <c r="DI23" i="64"/>
  <c r="DL23" i="64" s="1"/>
  <c r="DH23" i="64"/>
  <c r="DJ22" i="64"/>
  <c r="DM22" i="64" s="1"/>
  <c r="DI22" i="64"/>
  <c r="DL22" i="64" s="1"/>
  <c r="DH22" i="64"/>
  <c r="DK22" i="64" s="1"/>
  <c r="DJ21" i="64"/>
  <c r="DM21" i="64" s="1"/>
  <c r="DI21" i="64"/>
  <c r="DL21" i="64" s="1"/>
  <c r="DH21" i="64"/>
  <c r="DK21" i="64" s="1"/>
  <c r="DJ20" i="64"/>
  <c r="DM20" i="64" s="1"/>
  <c r="DI20" i="64"/>
  <c r="DL20" i="64" s="1"/>
  <c r="DH20" i="64"/>
  <c r="DK20" i="64" s="1"/>
  <c r="DJ19" i="64"/>
  <c r="DM19" i="64" s="1"/>
  <c r="DI19" i="64"/>
  <c r="DL19" i="64" s="1"/>
  <c r="DH19" i="64"/>
  <c r="DK19" i="64" s="1"/>
  <c r="DJ18" i="64"/>
  <c r="DM18" i="64" s="1"/>
  <c r="DI18" i="64"/>
  <c r="DL18" i="64" s="1"/>
  <c r="DH18" i="64"/>
  <c r="DK18" i="64" s="1"/>
  <c r="DJ17" i="64"/>
  <c r="DM17" i="64" s="1"/>
  <c r="DI17" i="64"/>
  <c r="DL17" i="64" s="1"/>
  <c r="DH17" i="64"/>
  <c r="DK17" i="64" s="1"/>
  <c r="DJ16" i="64"/>
  <c r="DM16" i="64" s="1"/>
  <c r="DI16" i="64"/>
  <c r="DL16" i="64" s="1"/>
  <c r="DH16" i="64"/>
  <c r="DK16" i="64" s="1"/>
  <c r="DJ15" i="64"/>
  <c r="DM15" i="64" s="1"/>
  <c r="DI15" i="64"/>
  <c r="DL15" i="64" s="1"/>
  <c r="DH15" i="64"/>
  <c r="DK15" i="64" s="1"/>
  <c r="DN15" i="64" s="1"/>
  <c r="N9" i="24" s="1"/>
  <c r="DJ14" i="64"/>
  <c r="DM14" i="64" s="1"/>
  <c r="DI14" i="64"/>
  <c r="DL14" i="64" s="1"/>
  <c r="DH14" i="64"/>
  <c r="DK14" i="64" s="1"/>
  <c r="DJ13" i="64"/>
  <c r="DM13" i="64" s="1"/>
  <c r="DI13" i="64"/>
  <c r="DL13" i="64" s="1"/>
  <c r="DH13" i="64"/>
  <c r="DK13" i="64" s="1"/>
  <c r="DJ12" i="64"/>
  <c r="DM12" i="64" s="1"/>
  <c r="DI12" i="64"/>
  <c r="DL12" i="64" s="1"/>
  <c r="DH12" i="64"/>
  <c r="DK12" i="64" s="1"/>
  <c r="DJ11" i="64"/>
  <c r="DM11" i="64" s="1"/>
  <c r="DI11" i="64"/>
  <c r="DL11" i="64" s="1"/>
  <c r="DH11" i="64"/>
  <c r="DK11" i="64" s="1"/>
  <c r="DJ10" i="64"/>
  <c r="DM10" i="64" s="1"/>
  <c r="DI10" i="64"/>
  <c r="DL10" i="64" s="1"/>
  <c r="DH10" i="64"/>
  <c r="DK10" i="64" s="1"/>
  <c r="DJ9" i="64"/>
  <c r="DM9" i="64" s="1"/>
  <c r="DI9" i="64"/>
  <c r="DL9" i="64" s="1"/>
  <c r="DN10" i="73" l="1"/>
  <c r="AC4" i="25" s="1"/>
  <c r="DN35" i="72"/>
  <c r="X29" i="25" s="1"/>
  <c r="DN19" i="64"/>
  <c r="N13" i="24" s="1"/>
  <c r="DN14" i="73"/>
  <c r="AC8" i="25" s="1"/>
  <c r="DN35" i="73"/>
  <c r="AC29" i="25" s="1"/>
  <c r="DN12" i="73"/>
  <c r="AC6" i="25" s="1"/>
  <c r="DN20" i="73"/>
  <c r="AC14" i="25" s="1"/>
  <c r="DN21" i="73"/>
  <c r="AC15" i="25" s="1"/>
  <c r="DN19" i="73"/>
  <c r="AC13" i="25" s="1"/>
  <c r="DN29" i="73"/>
  <c r="AC23" i="25" s="1"/>
  <c r="DN39" i="73"/>
  <c r="AC33" i="25" s="1"/>
  <c r="DN13" i="73"/>
  <c r="AC7" i="25" s="1"/>
  <c r="DN37" i="73"/>
  <c r="AC31" i="25" s="1"/>
  <c r="DN28" i="73"/>
  <c r="AC22" i="25" s="1"/>
  <c r="DN36" i="73"/>
  <c r="AC30" i="25" s="1"/>
  <c r="DN13" i="72"/>
  <c r="X7" i="25" s="1"/>
  <c r="DN26" i="72"/>
  <c r="X20" i="25" s="1"/>
  <c r="DN27" i="72"/>
  <c r="X21" i="25" s="1"/>
  <c r="DN11" i="72"/>
  <c r="X5" i="25" s="1"/>
  <c r="DN16" i="72"/>
  <c r="X10" i="25" s="1"/>
  <c r="DN31" i="72"/>
  <c r="X25" i="25" s="1"/>
  <c r="DN12" i="72"/>
  <c r="X6" i="25" s="1"/>
  <c r="DN29" i="72"/>
  <c r="X23" i="25" s="1"/>
  <c r="DN19" i="72"/>
  <c r="X13" i="25" s="1"/>
  <c r="DN28" i="72"/>
  <c r="X22" i="25" s="1"/>
  <c r="DN30" i="72"/>
  <c r="X24" i="25" s="1"/>
  <c r="DN37" i="72"/>
  <c r="X31" i="25" s="1"/>
  <c r="DN22" i="71"/>
  <c r="S16" i="25" s="1"/>
  <c r="DN14" i="71"/>
  <c r="S8" i="25" s="1"/>
  <c r="DN21" i="71"/>
  <c r="S15" i="25" s="1"/>
  <c r="DN31" i="71"/>
  <c r="S25" i="25" s="1"/>
  <c r="DN11" i="71"/>
  <c r="S5" i="25" s="1"/>
  <c r="DN12" i="71"/>
  <c r="S6" i="25" s="1"/>
  <c r="DN29" i="71"/>
  <c r="S23" i="25" s="1"/>
  <c r="DN37" i="71"/>
  <c r="S31" i="25" s="1"/>
  <c r="DN20" i="71"/>
  <c r="S14" i="25" s="1"/>
  <c r="DN28" i="71"/>
  <c r="S22" i="25" s="1"/>
  <c r="DN13" i="71"/>
  <c r="S7" i="25" s="1"/>
  <c r="DN15" i="71"/>
  <c r="S9" i="25" s="1"/>
  <c r="DN30" i="71"/>
  <c r="S24" i="25" s="1"/>
  <c r="DN36" i="71"/>
  <c r="S30" i="25" s="1"/>
  <c r="DN19" i="71"/>
  <c r="S13" i="25" s="1"/>
  <c r="DN27" i="71"/>
  <c r="S21" i="25" s="1"/>
  <c r="DN38" i="71"/>
  <c r="S32" i="25" s="1"/>
  <c r="DN27" i="70"/>
  <c r="N21" i="25" s="1"/>
  <c r="DN11" i="70"/>
  <c r="N5" i="25" s="1"/>
  <c r="DN19" i="70"/>
  <c r="N13" i="25" s="1"/>
  <c r="DN26" i="70"/>
  <c r="N20" i="25" s="1"/>
  <c r="DN28" i="70"/>
  <c r="N22" i="25" s="1"/>
  <c r="DN30" i="70"/>
  <c r="N24" i="25" s="1"/>
  <c r="DN36" i="70"/>
  <c r="N30" i="25" s="1"/>
  <c r="DN13" i="70"/>
  <c r="N7" i="25" s="1"/>
  <c r="DN21" i="70"/>
  <c r="N15" i="25" s="1"/>
  <c r="DN31" i="70"/>
  <c r="N25" i="25" s="1"/>
  <c r="DN16" i="70"/>
  <c r="N10" i="25" s="1"/>
  <c r="DN29" i="70"/>
  <c r="N23" i="25" s="1"/>
  <c r="DN12" i="70"/>
  <c r="N6" i="25" s="1"/>
  <c r="DN35" i="70"/>
  <c r="N29" i="25" s="1"/>
  <c r="DN37" i="70"/>
  <c r="N31" i="25" s="1"/>
  <c r="DN20" i="70"/>
  <c r="N14" i="25" s="1"/>
  <c r="DN34" i="69"/>
  <c r="I28" i="25" s="1"/>
  <c r="DN21" i="69"/>
  <c r="I15" i="25" s="1"/>
  <c r="DN11" i="69"/>
  <c r="I5" i="25" s="1"/>
  <c r="DN31" i="69"/>
  <c r="I25" i="25" s="1"/>
  <c r="DN35" i="69"/>
  <c r="I29" i="25" s="1"/>
  <c r="DN28" i="69"/>
  <c r="I22" i="25" s="1"/>
  <c r="DN37" i="69"/>
  <c r="I31" i="25" s="1"/>
  <c r="DN15" i="69"/>
  <c r="I9" i="25" s="1"/>
  <c r="DN13" i="69"/>
  <c r="I7" i="25" s="1"/>
  <c r="DN23" i="69"/>
  <c r="I17" i="25" s="1"/>
  <c r="DN36" i="69"/>
  <c r="I30" i="25" s="1"/>
  <c r="DN27" i="69"/>
  <c r="I21" i="25" s="1"/>
  <c r="DN29" i="69"/>
  <c r="I23" i="25" s="1"/>
  <c r="DN12" i="69"/>
  <c r="I6" i="25" s="1"/>
  <c r="DN24" i="69"/>
  <c r="I18" i="25" s="1"/>
  <c r="DN19" i="69"/>
  <c r="I13" i="25" s="1"/>
  <c r="DN20" i="69"/>
  <c r="I14" i="25" s="1"/>
  <c r="DN32" i="69"/>
  <c r="I26" i="25" s="1"/>
  <c r="DN39" i="69"/>
  <c r="I33" i="25" s="1"/>
  <c r="DN11" i="68"/>
  <c r="D5" i="25" s="1"/>
  <c r="DN26" i="68"/>
  <c r="D20" i="25" s="1"/>
  <c r="D31" i="25"/>
  <c r="DN27" i="68"/>
  <c r="D21" i="25" s="1"/>
  <c r="DN29" i="68"/>
  <c r="D23" i="25" s="1"/>
  <c r="DN12" i="68"/>
  <c r="D6" i="25" s="1"/>
  <c r="DN35" i="68"/>
  <c r="D29" i="25" s="1"/>
  <c r="DN20" i="68"/>
  <c r="D14" i="25" s="1"/>
  <c r="DN22" i="68"/>
  <c r="D16" i="25" s="1"/>
  <c r="DN28" i="68"/>
  <c r="D22" i="25" s="1"/>
  <c r="DN36" i="68"/>
  <c r="D30" i="25" s="1"/>
  <c r="DN15" i="68"/>
  <c r="D9" i="25" s="1"/>
  <c r="DN13" i="68"/>
  <c r="D7" i="25" s="1"/>
  <c r="DN23" i="68"/>
  <c r="D17" i="25" s="1"/>
  <c r="DN19" i="68"/>
  <c r="D13" i="25" s="1"/>
  <c r="DN21" i="68"/>
  <c r="D15" i="25" s="1"/>
  <c r="DN31" i="68"/>
  <c r="D25" i="25" s="1"/>
  <c r="DN19" i="67"/>
  <c r="AC13" i="24" s="1"/>
  <c r="DN20" i="67"/>
  <c r="AC14" i="24" s="1"/>
  <c r="DN27" i="67"/>
  <c r="AC21" i="24" s="1"/>
  <c r="DN35" i="67"/>
  <c r="AC29" i="24" s="1"/>
  <c r="DN13" i="67"/>
  <c r="AC7" i="24" s="1"/>
  <c r="DN15" i="67"/>
  <c r="AC9" i="24" s="1"/>
  <c r="DN22" i="67"/>
  <c r="AC16" i="24" s="1"/>
  <c r="DN24" i="67"/>
  <c r="AC18" i="24" s="1"/>
  <c r="DN29" i="67"/>
  <c r="AC23" i="24" s="1"/>
  <c r="DN37" i="67"/>
  <c r="AC31" i="24" s="1"/>
  <c r="DN39" i="67"/>
  <c r="AC33" i="24" s="1"/>
  <c r="DN12" i="67"/>
  <c r="AC6" i="24" s="1"/>
  <c r="DN28" i="67"/>
  <c r="AC22" i="24" s="1"/>
  <c r="DN36" i="67"/>
  <c r="AC30" i="24" s="1"/>
  <c r="DN14" i="67"/>
  <c r="AC8" i="24" s="1"/>
  <c r="DN16" i="67"/>
  <c r="AC10" i="24" s="1"/>
  <c r="DN21" i="67"/>
  <c r="AC15" i="24" s="1"/>
  <c r="DN23" i="67"/>
  <c r="AC17" i="24" s="1"/>
  <c r="DN38" i="67"/>
  <c r="AC32" i="24" s="1"/>
  <c r="DN27" i="66"/>
  <c r="DN12" i="66"/>
  <c r="DN13" i="66"/>
  <c r="DN29" i="66"/>
  <c r="DN20" i="66"/>
  <c r="DN35" i="66"/>
  <c r="DN22" i="66"/>
  <c r="X16" i="24" s="1"/>
  <c r="DN26" i="66"/>
  <c r="DN30" i="66"/>
  <c r="DN14" i="66"/>
  <c r="DN23" i="66"/>
  <c r="DN34" i="66"/>
  <c r="DN36" i="66"/>
  <c r="DN19" i="66"/>
  <c r="DN18" i="65"/>
  <c r="S12" i="24" s="1"/>
  <c r="DN23" i="65"/>
  <c r="S17" i="24" s="1"/>
  <c r="DN30" i="65"/>
  <c r="S24" i="24" s="1"/>
  <c r="DN35" i="65"/>
  <c r="S29" i="24" s="1"/>
  <c r="DN11" i="65"/>
  <c r="S5" i="24" s="1"/>
  <c r="DN31" i="65"/>
  <c r="S25" i="24" s="1"/>
  <c r="DN19" i="65"/>
  <c r="S13" i="24" s="1"/>
  <c r="DN22" i="65"/>
  <c r="S16" i="24" s="1"/>
  <c r="DN39" i="65"/>
  <c r="DN27" i="65"/>
  <c r="S21" i="24" s="1"/>
  <c r="DN28" i="65"/>
  <c r="S22" i="24" s="1"/>
  <c r="DN21" i="65"/>
  <c r="S15" i="24" s="1"/>
  <c r="DN36" i="65"/>
  <c r="S30" i="24" s="1"/>
  <c r="DN13" i="65"/>
  <c r="S7" i="24" s="1"/>
  <c r="DN12" i="65"/>
  <c r="S6" i="24" s="1"/>
  <c r="DN14" i="65"/>
  <c r="S8" i="24" s="1"/>
  <c r="DN20" i="65"/>
  <c r="S14" i="24" s="1"/>
  <c r="DN32" i="65"/>
  <c r="S26" i="24" s="1"/>
  <c r="DN22" i="64"/>
  <c r="N16" i="24" s="1"/>
  <c r="DN9" i="64"/>
  <c r="N3" i="24" s="1"/>
  <c r="DN13" i="64"/>
  <c r="N7" i="24" s="1"/>
  <c r="DN33" i="64"/>
  <c r="N27" i="24" s="1"/>
  <c r="DN23" i="64"/>
  <c r="N17" i="24" s="1"/>
  <c r="DN32" i="64"/>
  <c r="N26" i="24" s="1"/>
  <c r="DN16" i="64"/>
  <c r="N10" i="24" s="1"/>
  <c r="DN18" i="64"/>
  <c r="N12" i="24" s="1"/>
  <c r="DN39" i="64"/>
  <c r="N33" i="24" s="1"/>
  <c r="DN11" i="73"/>
  <c r="AC5" i="25" s="1"/>
  <c r="DN22" i="72"/>
  <c r="X16" i="25" s="1"/>
  <c r="DN21" i="72"/>
  <c r="X15" i="25" s="1"/>
  <c r="DN20" i="72"/>
  <c r="X14" i="25" s="1"/>
  <c r="DN36" i="72"/>
  <c r="X30" i="25" s="1"/>
  <c r="DN14" i="69"/>
  <c r="I8" i="25" s="1"/>
  <c r="DN32" i="67"/>
  <c r="AC26" i="24" s="1"/>
  <c r="DN31" i="67"/>
  <c r="AC25" i="24" s="1"/>
  <c r="DN30" i="67"/>
  <c r="AC24" i="24" s="1"/>
  <c r="DN21" i="66"/>
  <c r="DN28" i="66"/>
  <c r="DN24" i="64"/>
  <c r="N18" i="24" s="1"/>
  <c r="DN34" i="73"/>
  <c r="AC28" i="25" s="1"/>
  <c r="DN16" i="73"/>
  <c r="AC10" i="25" s="1"/>
  <c r="DN9" i="73"/>
  <c r="AC3" i="25" s="1"/>
  <c r="DN18" i="73"/>
  <c r="AC12" i="25" s="1"/>
  <c r="DN25" i="73"/>
  <c r="AC19" i="25" s="1"/>
  <c r="DN31" i="73"/>
  <c r="AC25" i="25" s="1"/>
  <c r="DN33" i="73"/>
  <c r="AC27" i="25" s="1"/>
  <c r="DN24" i="73"/>
  <c r="AC18" i="25" s="1"/>
  <c r="DN15" i="73"/>
  <c r="AC9" i="25" s="1"/>
  <c r="DN22" i="73"/>
  <c r="AC16" i="25" s="1"/>
  <c r="DN32" i="73"/>
  <c r="AC26" i="25" s="1"/>
  <c r="DN34" i="72"/>
  <c r="X28" i="25" s="1"/>
  <c r="DN17" i="72"/>
  <c r="X11" i="25" s="1"/>
  <c r="DN33" i="72"/>
  <c r="X27" i="25" s="1"/>
  <c r="DN9" i="72"/>
  <c r="X3" i="25" s="1"/>
  <c r="DN25" i="72"/>
  <c r="X19" i="25" s="1"/>
  <c r="DN10" i="72"/>
  <c r="X4" i="25" s="1"/>
  <c r="DN24" i="72"/>
  <c r="X18" i="25" s="1"/>
  <c r="DN14" i="72"/>
  <c r="X8" i="25" s="1"/>
  <c r="DN18" i="72"/>
  <c r="X12" i="25" s="1"/>
  <c r="DN32" i="72"/>
  <c r="X26" i="25" s="1"/>
  <c r="DN25" i="71"/>
  <c r="S19" i="25" s="1"/>
  <c r="DN33" i="71"/>
  <c r="S27" i="25" s="1"/>
  <c r="DN17" i="71"/>
  <c r="S11" i="25" s="1"/>
  <c r="DN24" i="71"/>
  <c r="S18" i="25" s="1"/>
  <c r="DN34" i="71"/>
  <c r="S28" i="25" s="1"/>
  <c r="DN10" i="71"/>
  <c r="S4" i="25" s="1"/>
  <c r="DN9" i="71"/>
  <c r="S3" i="25" s="1"/>
  <c r="DN18" i="71"/>
  <c r="S12" i="25" s="1"/>
  <c r="DN32" i="71"/>
  <c r="S26" i="25" s="1"/>
  <c r="DN34" i="70"/>
  <c r="N28" i="25" s="1"/>
  <c r="DN9" i="70"/>
  <c r="N3" i="25" s="1"/>
  <c r="DN17" i="70"/>
  <c r="N11" i="25" s="1"/>
  <c r="DN25" i="70"/>
  <c r="N19" i="25" s="1"/>
  <c r="DN33" i="70"/>
  <c r="N27" i="25" s="1"/>
  <c r="DN10" i="70"/>
  <c r="N4" i="25" s="1"/>
  <c r="DN24" i="70"/>
  <c r="N18" i="25" s="1"/>
  <c r="DN14" i="70"/>
  <c r="N8" i="25" s="1"/>
  <c r="DN18" i="70"/>
  <c r="N12" i="25" s="1"/>
  <c r="DN32" i="70"/>
  <c r="N26" i="25" s="1"/>
  <c r="DN25" i="69"/>
  <c r="I19" i="25" s="1"/>
  <c r="DN33" i="69"/>
  <c r="I27" i="25" s="1"/>
  <c r="DN17" i="69"/>
  <c r="I11" i="25" s="1"/>
  <c r="DN18" i="69"/>
  <c r="I12" i="25" s="1"/>
  <c r="DN10" i="69"/>
  <c r="I4" i="25" s="1"/>
  <c r="DN22" i="69"/>
  <c r="I16" i="25" s="1"/>
  <c r="DN26" i="69"/>
  <c r="I20" i="25" s="1"/>
  <c r="DN30" i="69"/>
  <c r="I24" i="25" s="1"/>
  <c r="DN39" i="68"/>
  <c r="DN34" i="68"/>
  <c r="D28" i="25" s="1"/>
  <c r="DN9" i="68"/>
  <c r="D3" i="25" s="1"/>
  <c r="DN33" i="68"/>
  <c r="D27" i="25" s="1"/>
  <c r="DN10" i="68"/>
  <c r="D4" i="25" s="1"/>
  <c r="DN24" i="68"/>
  <c r="D18" i="25" s="1"/>
  <c r="DN17" i="68"/>
  <c r="D11" i="25" s="1"/>
  <c r="DN25" i="68"/>
  <c r="D19" i="25" s="1"/>
  <c r="DN14" i="68"/>
  <c r="D8" i="25" s="1"/>
  <c r="DN18" i="68"/>
  <c r="D12" i="25" s="1"/>
  <c r="DN32" i="68"/>
  <c r="D26" i="25" s="1"/>
  <c r="DN26" i="67"/>
  <c r="AC20" i="24" s="1"/>
  <c r="DN10" i="67"/>
  <c r="AC4" i="24" s="1"/>
  <c r="DN9" i="67"/>
  <c r="AC3" i="24" s="1"/>
  <c r="DN18" i="67"/>
  <c r="AC12" i="24" s="1"/>
  <c r="DN25" i="67"/>
  <c r="AC19" i="24" s="1"/>
  <c r="DN34" i="67"/>
  <c r="AC28" i="24" s="1"/>
  <c r="DN17" i="67"/>
  <c r="AC11" i="24" s="1"/>
  <c r="DN33" i="67"/>
  <c r="AC27" i="24" s="1"/>
  <c r="DN39" i="66"/>
  <c r="DN9" i="66"/>
  <c r="DN33" i="66"/>
  <c r="DN16" i="66"/>
  <c r="DN25" i="66"/>
  <c r="DN32" i="66"/>
  <c r="DN17" i="66"/>
  <c r="DN24" i="66"/>
  <c r="DN15" i="66"/>
  <c r="DN31" i="66"/>
  <c r="DN38" i="65"/>
  <c r="S32" i="24" s="1"/>
  <c r="DN9" i="65"/>
  <c r="S3" i="24" s="1"/>
  <c r="DN15" i="65"/>
  <c r="S9" i="24" s="1"/>
  <c r="DN34" i="65"/>
  <c r="S28" i="24" s="1"/>
  <c r="DN26" i="65"/>
  <c r="S20" i="24" s="1"/>
  <c r="DN29" i="65"/>
  <c r="S23" i="24" s="1"/>
  <c r="DN33" i="65"/>
  <c r="S27" i="24" s="1"/>
  <c r="DN17" i="65"/>
  <c r="S11" i="24" s="1"/>
  <c r="DN25" i="65"/>
  <c r="S19" i="24" s="1"/>
  <c r="DN16" i="65"/>
  <c r="S10" i="24" s="1"/>
  <c r="DN10" i="65"/>
  <c r="S4" i="24" s="1"/>
  <c r="DN24" i="65"/>
  <c r="S18" i="24" s="1"/>
  <c r="DN37" i="65"/>
  <c r="S31" i="24" s="1"/>
  <c r="DN20" i="64"/>
  <c r="N14" i="24" s="1"/>
  <c r="DN10" i="64"/>
  <c r="N4" i="24" s="1"/>
  <c r="DN14" i="64"/>
  <c r="N8" i="24" s="1"/>
  <c r="DN28" i="64"/>
  <c r="N22" i="24" s="1"/>
  <c r="DN38" i="64"/>
  <c r="N32" i="24" s="1"/>
  <c r="DN36" i="64"/>
  <c r="N30" i="24" s="1"/>
  <c r="DN26" i="64"/>
  <c r="N20" i="24" s="1"/>
  <c r="DN30" i="64"/>
  <c r="N24" i="24" s="1"/>
  <c r="DN11" i="64"/>
  <c r="N5" i="24" s="1"/>
  <c r="DN34" i="64"/>
  <c r="N28" i="24" s="1"/>
  <c r="DN17" i="64"/>
  <c r="N11" i="24" s="1"/>
  <c r="DN21" i="64"/>
  <c r="N15" i="24" s="1"/>
  <c r="DN27" i="64"/>
  <c r="N21" i="24" s="1"/>
  <c r="DN12" i="64"/>
  <c r="N6" i="24" s="1"/>
  <c r="DN25" i="64"/>
  <c r="N19" i="24" s="1"/>
  <c r="DN29" i="64"/>
  <c r="N23" i="24" s="1"/>
  <c r="DN35" i="64"/>
  <c r="N29" i="24" s="1"/>
  <c r="DN31" i="63"/>
  <c r="I25" i="24" s="1"/>
  <c r="DM39" i="63"/>
  <c r="DL39" i="63"/>
  <c r="DH39" i="63"/>
  <c r="DK39" i="63" s="1"/>
  <c r="DJ38" i="63"/>
  <c r="DM38" i="63" s="1"/>
  <c r="DI38" i="63"/>
  <c r="DL38" i="63" s="1"/>
  <c r="DH38" i="63"/>
  <c r="DK38" i="63" s="1"/>
  <c r="DN38" i="63" s="1"/>
  <c r="I32" i="24" s="1"/>
  <c r="DJ37" i="63"/>
  <c r="DM37" i="63" s="1"/>
  <c r="DI37" i="63"/>
  <c r="DL37" i="63" s="1"/>
  <c r="DH37" i="63"/>
  <c r="DK37" i="63" s="1"/>
  <c r="DJ36" i="63"/>
  <c r="DM36" i="63" s="1"/>
  <c r="DI36" i="63"/>
  <c r="DL36" i="63" s="1"/>
  <c r="DH36" i="63"/>
  <c r="DK36" i="63" s="1"/>
  <c r="DJ35" i="63"/>
  <c r="DM35" i="63" s="1"/>
  <c r="DI35" i="63"/>
  <c r="DL35" i="63" s="1"/>
  <c r="DH35" i="63"/>
  <c r="DK35" i="63" s="1"/>
  <c r="DJ34" i="63"/>
  <c r="DM34" i="63" s="1"/>
  <c r="DI34" i="63"/>
  <c r="DL34" i="63" s="1"/>
  <c r="DH34" i="63"/>
  <c r="DK34" i="63" s="1"/>
  <c r="DJ33" i="63"/>
  <c r="DM33" i="63" s="1"/>
  <c r="DI33" i="63"/>
  <c r="DL33" i="63" s="1"/>
  <c r="DH33" i="63"/>
  <c r="DK33" i="63" s="1"/>
  <c r="DN33" i="63" s="1"/>
  <c r="I27" i="24" s="1"/>
  <c r="DJ32" i="63"/>
  <c r="DM32" i="63" s="1"/>
  <c r="DI32" i="63"/>
  <c r="DL32" i="63" s="1"/>
  <c r="DH32" i="63"/>
  <c r="DK32" i="63" s="1"/>
  <c r="DJ31" i="63"/>
  <c r="DM31" i="63" s="1"/>
  <c r="DI31" i="63"/>
  <c r="DL31" i="63" s="1"/>
  <c r="DH31" i="63"/>
  <c r="DK31" i="63" s="1"/>
  <c r="DJ30" i="63"/>
  <c r="DM30" i="63" s="1"/>
  <c r="DI30" i="63"/>
  <c r="DL30" i="63" s="1"/>
  <c r="DH30" i="63"/>
  <c r="DK30" i="63" s="1"/>
  <c r="DJ29" i="63"/>
  <c r="DM29" i="63" s="1"/>
  <c r="DI29" i="63"/>
  <c r="DL29" i="63" s="1"/>
  <c r="DH29" i="63"/>
  <c r="DK29" i="63" s="1"/>
  <c r="DJ28" i="63"/>
  <c r="DM28" i="63" s="1"/>
  <c r="DI28" i="63"/>
  <c r="DL28" i="63" s="1"/>
  <c r="DH28" i="63"/>
  <c r="DK28" i="63" s="1"/>
  <c r="DN28" i="63" s="1"/>
  <c r="I22" i="24" s="1"/>
  <c r="DJ27" i="63"/>
  <c r="DM27" i="63" s="1"/>
  <c r="DI27" i="63"/>
  <c r="DL27" i="63" s="1"/>
  <c r="DH27" i="63"/>
  <c r="DK27" i="63" s="1"/>
  <c r="DJ26" i="63"/>
  <c r="DM26" i="63" s="1"/>
  <c r="DI26" i="63"/>
  <c r="DL26" i="63" s="1"/>
  <c r="DH26" i="63"/>
  <c r="DK26" i="63" s="1"/>
  <c r="DJ25" i="63"/>
  <c r="DM25" i="63" s="1"/>
  <c r="DI25" i="63"/>
  <c r="DL25" i="63" s="1"/>
  <c r="DH25" i="63"/>
  <c r="DK25" i="63" s="1"/>
  <c r="DJ24" i="63"/>
  <c r="DM24" i="63" s="1"/>
  <c r="DI24" i="63"/>
  <c r="DL24" i="63" s="1"/>
  <c r="DH24" i="63"/>
  <c r="DK24" i="63" s="1"/>
  <c r="DJ23" i="63"/>
  <c r="DM23" i="63" s="1"/>
  <c r="DI23" i="63"/>
  <c r="DL23" i="63" s="1"/>
  <c r="DH23" i="63"/>
  <c r="DK23" i="63" s="1"/>
  <c r="DN23" i="63" s="1"/>
  <c r="I17" i="24" s="1"/>
  <c r="DJ22" i="63"/>
  <c r="DM22" i="63" s="1"/>
  <c r="DI22" i="63"/>
  <c r="DL22" i="63" s="1"/>
  <c r="DH22" i="63"/>
  <c r="DK22" i="63" s="1"/>
  <c r="DJ21" i="63"/>
  <c r="DM21" i="63" s="1"/>
  <c r="DI21" i="63"/>
  <c r="DL21" i="63" s="1"/>
  <c r="DH21" i="63"/>
  <c r="DK21" i="63" s="1"/>
  <c r="DJ20" i="63"/>
  <c r="DM20" i="63" s="1"/>
  <c r="DI20" i="63"/>
  <c r="DL20" i="63" s="1"/>
  <c r="DH20" i="63"/>
  <c r="DK20" i="63" s="1"/>
  <c r="DN20" i="63" s="1"/>
  <c r="I14" i="24" s="1"/>
  <c r="DJ19" i="63"/>
  <c r="DM19" i="63" s="1"/>
  <c r="DI19" i="63"/>
  <c r="DL19" i="63" s="1"/>
  <c r="DH19" i="63"/>
  <c r="DK19" i="63" s="1"/>
  <c r="DJ18" i="63"/>
  <c r="DM18" i="63" s="1"/>
  <c r="DI18" i="63"/>
  <c r="DL18" i="63" s="1"/>
  <c r="DH18" i="63"/>
  <c r="DK18" i="63" s="1"/>
  <c r="DJ17" i="63"/>
  <c r="DM17" i="63" s="1"/>
  <c r="DI17" i="63"/>
  <c r="DL17" i="63" s="1"/>
  <c r="DH17" i="63"/>
  <c r="DK17" i="63" s="1"/>
  <c r="DN17" i="63" s="1"/>
  <c r="I11" i="24" s="1"/>
  <c r="DJ16" i="63"/>
  <c r="DM16" i="63" s="1"/>
  <c r="DI16" i="63"/>
  <c r="DL16" i="63" s="1"/>
  <c r="DH16" i="63"/>
  <c r="DK16" i="63" s="1"/>
  <c r="DJ15" i="63"/>
  <c r="DM15" i="63" s="1"/>
  <c r="DI15" i="63"/>
  <c r="DL15" i="63" s="1"/>
  <c r="DH15" i="63"/>
  <c r="DK15" i="63" s="1"/>
  <c r="DJ14" i="63"/>
  <c r="DM14" i="63" s="1"/>
  <c r="DI14" i="63"/>
  <c r="DL14" i="63" s="1"/>
  <c r="DH14" i="63"/>
  <c r="DK14" i="63" s="1"/>
  <c r="DJ13" i="63"/>
  <c r="DM13" i="63" s="1"/>
  <c r="DI13" i="63"/>
  <c r="DL13" i="63" s="1"/>
  <c r="DH13" i="63"/>
  <c r="DK13" i="63" s="1"/>
  <c r="DJ12" i="63"/>
  <c r="DM12" i="63" s="1"/>
  <c r="DI12" i="63"/>
  <c r="DL12" i="63" s="1"/>
  <c r="DH12" i="63"/>
  <c r="DK12" i="63" s="1"/>
  <c r="DJ11" i="63"/>
  <c r="DM11" i="63" s="1"/>
  <c r="DI11" i="63"/>
  <c r="DL11" i="63" s="1"/>
  <c r="DH11" i="63"/>
  <c r="DK11" i="63" s="1"/>
  <c r="DJ10" i="63"/>
  <c r="DM10" i="63" s="1"/>
  <c r="DI10" i="63"/>
  <c r="DL10" i="63" s="1"/>
  <c r="DH10" i="63"/>
  <c r="DK10" i="63" s="1"/>
  <c r="DJ9" i="63"/>
  <c r="DM9" i="63" s="1"/>
  <c r="DI9" i="63"/>
  <c r="DL9" i="63" s="1"/>
  <c r="DH9" i="63"/>
  <c r="DK9" i="63" s="1"/>
  <c r="DK11" i="41"/>
  <c r="DK35" i="41"/>
  <c r="DJ13" i="41"/>
  <c r="DJ12" i="41"/>
  <c r="DJ14" i="41"/>
  <c r="DM14" i="41" s="1"/>
  <c r="DJ15" i="41"/>
  <c r="DJ16" i="41"/>
  <c r="DJ17" i="41"/>
  <c r="DM17" i="41" s="1"/>
  <c r="DJ18" i="41"/>
  <c r="DM18" i="41" s="1"/>
  <c r="DJ19" i="41"/>
  <c r="DJ20" i="41"/>
  <c r="DM20" i="41" s="1"/>
  <c r="DJ21" i="41"/>
  <c r="DM21" i="41" s="1"/>
  <c r="DJ22" i="41"/>
  <c r="DM22" i="41" s="1"/>
  <c r="DJ23" i="41"/>
  <c r="DM23" i="41" s="1"/>
  <c r="DJ24" i="41"/>
  <c r="DJ25" i="41"/>
  <c r="DJ26" i="41"/>
  <c r="DJ27" i="41"/>
  <c r="DM27" i="41" s="1"/>
  <c r="DJ28" i="41"/>
  <c r="DM28" i="41" s="1"/>
  <c r="DJ29" i="41"/>
  <c r="DJ30" i="41"/>
  <c r="DM30" i="41" s="1"/>
  <c r="DJ31" i="41"/>
  <c r="DJ32" i="41"/>
  <c r="DJ33" i="41"/>
  <c r="DM33" i="41" s="1"/>
  <c r="DJ34" i="41"/>
  <c r="DM34" i="41" s="1"/>
  <c r="DJ35" i="41"/>
  <c r="DM35" i="41" s="1"/>
  <c r="DJ36" i="41"/>
  <c r="DM36" i="41" s="1"/>
  <c r="DJ37" i="41"/>
  <c r="DJ38" i="41"/>
  <c r="DM38" i="41" s="1"/>
  <c r="DJ39" i="41"/>
  <c r="DJ40" i="41"/>
  <c r="DJ10" i="41"/>
  <c r="DM10" i="41" s="1"/>
  <c r="DI11" i="41"/>
  <c r="DL11" i="41" s="1"/>
  <c r="DI12" i="41"/>
  <c r="DL12" i="41" s="1"/>
  <c r="DI13" i="41"/>
  <c r="DI14" i="41"/>
  <c r="DL14" i="41" s="1"/>
  <c r="DI15" i="41"/>
  <c r="DI16" i="41"/>
  <c r="DI17" i="41"/>
  <c r="DL17" i="41" s="1"/>
  <c r="DI18" i="41"/>
  <c r="DL18" i="41" s="1"/>
  <c r="DI19" i="41"/>
  <c r="DL19" i="41" s="1"/>
  <c r="DI20" i="41"/>
  <c r="DL20" i="41" s="1"/>
  <c r="DI21" i="41"/>
  <c r="DI22" i="41"/>
  <c r="DI23" i="41"/>
  <c r="DI24" i="41"/>
  <c r="DL24" i="41" s="1"/>
  <c r="DI25" i="41"/>
  <c r="DI26" i="41"/>
  <c r="DL26" i="41" s="1"/>
  <c r="DI27" i="41"/>
  <c r="DL27" i="41" s="1"/>
  <c r="DI28" i="41"/>
  <c r="DI29" i="41"/>
  <c r="DL29" i="41" s="1"/>
  <c r="DI30" i="41"/>
  <c r="DI31" i="41"/>
  <c r="DL31" i="41" s="1"/>
  <c r="DI32" i="41"/>
  <c r="DI33" i="41"/>
  <c r="DI34" i="41"/>
  <c r="DL34" i="41" s="1"/>
  <c r="DI35" i="41"/>
  <c r="DL35" i="41" s="1"/>
  <c r="DI36" i="41"/>
  <c r="DI37" i="41"/>
  <c r="DI38" i="41"/>
  <c r="DL38" i="41" s="1"/>
  <c r="DI39" i="41"/>
  <c r="DI40" i="41"/>
  <c r="DI10" i="41"/>
  <c r="DL22" i="41"/>
  <c r="DL30" i="41"/>
  <c r="DL15" i="41"/>
  <c r="DM15" i="41"/>
  <c r="DL16" i="41"/>
  <c r="DM16" i="41"/>
  <c r="DL21" i="41"/>
  <c r="DM24" i="41"/>
  <c r="DL25" i="41"/>
  <c r="DM25" i="41"/>
  <c r="DM26" i="41"/>
  <c r="DL28" i="41"/>
  <c r="DM29" i="41"/>
  <c r="DM31" i="41"/>
  <c r="DL32" i="41"/>
  <c r="DM32" i="41"/>
  <c r="DL33" i="41"/>
  <c r="DL36" i="41"/>
  <c r="DL37" i="41"/>
  <c r="DM37" i="41"/>
  <c r="DM39" i="41"/>
  <c r="DL40" i="41"/>
  <c r="DM40" i="41"/>
  <c r="DL41" i="41"/>
  <c r="DN41" i="41" s="1"/>
  <c r="DM41" i="41"/>
  <c r="DL10" i="41"/>
  <c r="DJ11" i="41"/>
  <c r="DM11" i="41" s="1"/>
  <c r="DM12" i="41"/>
  <c r="DM13" i="41"/>
  <c r="DH11" i="41"/>
  <c r="DH12" i="41"/>
  <c r="DK12" i="41" s="1"/>
  <c r="DN12" i="41" s="1"/>
  <c r="D5" i="24" s="1"/>
  <c r="DH13" i="41"/>
  <c r="DK13" i="41" s="1"/>
  <c r="DH14" i="41"/>
  <c r="DK14" i="41" s="1"/>
  <c r="DH15" i="41"/>
  <c r="DK15" i="41" s="1"/>
  <c r="DN15" i="41" s="1"/>
  <c r="D8" i="24" s="1"/>
  <c r="DH16" i="41"/>
  <c r="DK16" i="41" s="1"/>
  <c r="DN16" i="41" s="1"/>
  <c r="D9" i="24" s="1"/>
  <c r="DH17" i="41"/>
  <c r="DK17" i="41" s="1"/>
  <c r="DN17" i="41" s="1"/>
  <c r="D10" i="24" s="1"/>
  <c r="DH18" i="41"/>
  <c r="DK18" i="41" s="1"/>
  <c r="DN18" i="41" s="1"/>
  <c r="D11" i="24" s="1"/>
  <c r="DH19" i="41"/>
  <c r="DK19" i="41" s="1"/>
  <c r="DH20" i="41"/>
  <c r="DK20" i="41" s="1"/>
  <c r="DN20" i="41" s="1"/>
  <c r="D13" i="24" s="1"/>
  <c r="DH21" i="41"/>
  <c r="DK21" i="41" s="1"/>
  <c r="DH22" i="41"/>
  <c r="DK22" i="41" s="1"/>
  <c r="DN22" i="41" s="1"/>
  <c r="D15" i="24" s="1"/>
  <c r="DH23" i="41"/>
  <c r="DK23" i="41" s="1"/>
  <c r="DH24" i="41"/>
  <c r="DK24" i="41" s="1"/>
  <c r="DN24" i="41" s="1"/>
  <c r="D17" i="24" s="1"/>
  <c r="DH25" i="41"/>
  <c r="DK25" i="41" s="1"/>
  <c r="DN25" i="41" s="1"/>
  <c r="D18" i="24" s="1"/>
  <c r="DH26" i="41"/>
  <c r="DK26" i="41" s="1"/>
  <c r="DN26" i="41" s="1"/>
  <c r="D19" i="24" s="1"/>
  <c r="DH27" i="41"/>
  <c r="DK27" i="41" s="1"/>
  <c r="DH28" i="41"/>
  <c r="DK28" i="41" s="1"/>
  <c r="DN28" i="41" s="1"/>
  <c r="D21" i="24" s="1"/>
  <c r="DH29" i="41"/>
  <c r="DK29" i="41" s="1"/>
  <c r="DN29" i="41" s="1"/>
  <c r="D22" i="24" s="1"/>
  <c r="DH30" i="41"/>
  <c r="DK30" i="41" s="1"/>
  <c r="DN30" i="41" s="1"/>
  <c r="D23" i="24" s="1"/>
  <c r="DH31" i="41"/>
  <c r="DK31" i="41" s="1"/>
  <c r="DN31" i="41" s="1"/>
  <c r="D24" i="24" s="1"/>
  <c r="DH32" i="41"/>
  <c r="DK32" i="41" s="1"/>
  <c r="DN32" i="41" s="1"/>
  <c r="D25" i="24" s="1"/>
  <c r="DH33" i="41"/>
  <c r="DK33" i="41" s="1"/>
  <c r="DN33" i="41" s="1"/>
  <c r="D26" i="24" s="1"/>
  <c r="DH34" i="41"/>
  <c r="DK34" i="41" s="1"/>
  <c r="DH35" i="41"/>
  <c r="DH36" i="41"/>
  <c r="DK36" i="41" s="1"/>
  <c r="DN36" i="41" s="1"/>
  <c r="D29" i="24" s="1"/>
  <c r="DH37" i="41"/>
  <c r="DK37" i="41" s="1"/>
  <c r="DN37" i="41" s="1"/>
  <c r="D30" i="24" s="1"/>
  <c r="DH38" i="41"/>
  <c r="DK38" i="41" s="1"/>
  <c r="DH39" i="41"/>
  <c r="DK39" i="41" s="1"/>
  <c r="DH40" i="41"/>
  <c r="DK40" i="41" s="1"/>
  <c r="DN40" i="41" s="1"/>
  <c r="D33" i="24" s="1"/>
  <c r="DH10" i="41"/>
  <c r="DK10" i="41" s="1"/>
  <c r="DN10" i="41" s="1"/>
  <c r="D3" i="24" s="1"/>
  <c r="AC34" i="25"/>
  <c r="X34" i="25"/>
  <c r="S34" i="25"/>
  <c r="N34" i="25"/>
  <c r="I34" i="25"/>
  <c r="D34" i="25"/>
  <c r="AC34" i="24"/>
  <c r="X34" i="24"/>
  <c r="S34" i="24"/>
  <c r="D34" i="24"/>
  <c r="I34" i="24"/>
  <c r="J34" i="24"/>
  <c r="K34" i="24"/>
  <c r="N34" i="24"/>
  <c r="A35" i="24"/>
  <c r="O34" i="24"/>
  <c r="A1" i="24"/>
  <c r="A1" i="25" s="1"/>
  <c r="C31" i="25"/>
  <c r="B5" i="21"/>
  <c r="AA31" i="23"/>
  <c r="G16" i="50"/>
  <c r="G15" i="50"/>
  <c r="G14" i="50"/>
  <c r="G13" i="50"/>
  <c r="G12" i="50"/>
  <c r="G11" i="50"/>
  <c r="G10" i="50"/>
  <c r="G9" i="50"/>
  <c r="G8" i="50"/>
  <c r="G6" i="50"/>
  <c r="G5" i="50"/>
  <c r="G7" i="50"/>
  <c r="A6" i="41"/>
  <c r="A5" i="63"/>
  <c r="N72" i="41"/>
  <c r="M72" i="41"/>
  <c r="DN38" i="41" l="1"/>
  <c r="D31" i="24" s="1"/>
  <c r="DN18" i="63"/>
  <c r="I12" i="24" s="1"/>
  <c r="DN22" i="63"/>
  <c r="I16" i="24" s="1"/>
  <c r="DN13" i="63"/>
  <c r="I7" i="24" s="1"/>
  <c r="DN24" i="63"/>
  <c r="I18" i="24" s="1"/>
  <c r="DN19" i="63"/>
  <c r="I13" i="24" s="1"/>
  <c r="DN32" i="63"/>
  <c r="I26" i="24" s="1"/>
  <c r="DN11" i="63"/>
  <c r="I5" i="24" s="1"/>
  <c r="DN25" i="63"/>
  <c r="I19" i="24" s="1"/>
  <c r="DN34" i="63"/>
  <c r="I28" i="24" s="1"/>
  <c r="DN36" i="63"/>
  <c r="I30" i="24" s="1"/>
  <c r="DN29" i="63"/>
  <c r="I23" i="24" s="1"/>
  <c r="DN37" i="63"/>
  <c r="I31" i="24" s="1"/>
  <c r="G17" i="50"/>
  <c r="DN10" i="63"/>
  <c r="I4" i="24" s="1"/>
  <c r="DN15" i="63"/>
  <c r="I9" i="24" s="1"/>
  <c r="DN35" i="63"/>
  <c r="I29" i="24" s="1"/>
  <c r="DN26" i="63"/>
  <c r="I20" i="24" s="1"/>
  <c r="DN21" i="63"/>
  <c r="I15" i="24" s="1"/>
  <c r="DN30" i="63"/>
  <c r="I24" i="24" s="1"/>
  <c r="DN35" i="41"/>
  <c r="D28" i="24" s="1"/>
  <c r="DN14" i="41"/>
  <c r="D7" i="24" s="1"/>
  <c r="DN11" i="41"/>
  <c r="D4" i="24" s="1"/>
  <c r="DN21" i="41"/>
  <c r="D14" i="24" s="1"/>
  <c r="DN27" i="41"/>
  <c r="D20" i="24" s="1"/>
  <c r="DN27" i="63"/>
  <c r="I21" i="24" s="1"/>
  <c r="DN16" i="63"/>
  <c r="I10" i="24" s="1"/>
  <c r="DN14" i="63"/>
  <c r="I8" i="24" s="1"/>
  <c r="DN12" i="63"/>
  <c r="I6" i="24" s="1"/>
  <c r="DN9" i="63"/>
  <c r="I3" i="24" s="1"/>
  <c r="DN34" i="41"/>
  <c r="D27" i="24" s="1"/>
  <c r="DN39" i="63"/>
  <c r="DM19" i="41"/>
  <c r="DN19" i="41" s="1"/>
  <c r="D12" i="24" s="1"/>
  <c r="DL39" i="41"/>
  <c r="DN39" i="41" s="1"/>
  <c r="D32" i="24" s="1"/>
  <c r="DL23" i="41"/>
  <c r="DN23" i="41" s="1"/>
  <c r="D16" i="24" s="1"/>
  <c r="DL13" i="41"/>
  <c r="DN13" i="41" s="1"/>
  <c r="D6" i="24" s="1"/>
  <c r="M65" i="41"/>
  <c r="M64" i="41"/>
  <c r="M67" i="41" s="1"/>
  <c r="M68" i="63"/>
  <c r="A84" i="63"/>
  <c r="I53" i="63"/>
  <c r="I61" i="63" s="1"/>
  <c r="I54" i="64" s="1"/>
  <c r="I62" i="64" s="1"/>
  <c r="I53" i="65" s="1"/>
  <c r="H62" i="41"/>
  <c r="H53" i="63" s="1"/>
  <c r="H61" i="63" s="1"/>
  <c r="H54" i="64" s="1"/>
  <c r="A85" i="41"/>
  <c r="AA9" i="68"/>
  <c r="A85" i="73"/>
  <c r="A84" i="73"/>
  <c r="A83" i="73"/>
  <c r="A82" i="73"/>
  <c r="A85" i="72"/>
  <c r="A84" i="72"/>
  <c r="A83" i="72"/>
  <c r="A82" i="72"/>
  <c r="A81" i="72"/>
  <c r="A86" i="71"/>
  <c r="A85" i="71"/>
  <c r="A84" i="71"/>
  <c r="A83" i="71"/>
  <c r="A84" i="70"/>
  <c r="A83" i="70"/>
  <c r="A82" i="70"/>
  <c r="A81" i="70"/>
  <c r="A86" i="69"/>
  <c r="A85" i="69"/>
  <c r="A84" i="69"/>
  <c r="A83" i="69"/>
  <c r="A82" i="69"/>
  <c r="A80" i="68"/>
  <c r="A85" i="67"/>
  <c r="A84" i="67"/>
  <c r="A83" i="67"/>
  <c r="A82" i="67"/>
  <c r="A86" i="66"/>
  <c r="A85" i="66"/>
  <c r="A84" i="66"/>
  <c r="A83" i="66"/>
  <c r="A82" i="66"/>
  <c r="A84" i="65"/>
  <c r="A83" i="65"/>
  <c r="A82" i="65"/>
  <c r="A81" i="65"/>
  <c r="A86" i="64"/>
  <c r="A85" i="63"/>
  <c r="A85" i="64"/>
  <c r="A84" i="64"/>
  <c r="A83" i="64"/>
  <c r="A82" i="64"/>
  <c r="A83" i="63"/>
  <c r="A82" i="63"/>
  <c r="A81" i="63"/>
  <c r="A84" i="41"/>
  <c r="A83" i="41"/>
  <c r="A82" i="41"/>
  <c r="D64" i="41"/>
  <c r="A83" i="68"/>
  <c r="A82" i="68"/>
  <c r="A81" i="68"/>
  <c r="N67" i="68"/>
  <c r="N66" i="68"/>
  <c r="I48" i="68" s="1"/>
  <c r="M67" i="68"/>
  <c r="M66" i="68"/>
  <c r="M69" i="68" s="1"/>
  <c r="D74" i="68"/>
  <c r="D63" i="68"/>
  <c r="D62" i="68"/>
  <c r="CY35" i="68"/>
  <c r="CZ35" i="68"/>
  <c r="DA35" i="68"/>
  <c r="DB35" i="68"/>
  <c r="DC35" i="68"/>
  <c r="DD35" i="68"/>
  <c r="DE35" i="68"/>
  <c r="DF35" i="68"/>
  <c r="CY36" i="68"/>
  <c r="CZ36" i="68"/>
  <c r="DA36" i="68"/>
  <c r="DB36" i="68"/>
  <c r="DC36" i="68"/>
  <c r="DD36" i="68"/>
  <c r="DE36" i="68"/>
  <c r="DF36" i="68"/>
  <c r="CY37" i="68"/>
  <c r="CZ37" i="68"/>
  <c r="DA37" i="68"/>
  <c r="DB37" i="68"/>
  <c r="DC37" i="68"/>
  <c r="DD37" i="68"/>
  <c r="DE37" i="68"/>
  <c r="DF37" i="68"/>
  <c r="CB35" i="68"/>
  <c r="CC35" i="68"/>
  <c r="CB36" i="68"/>
  <c r="CC36" i="68"/>
  <c r="CB37" i="68"/>
  <c r="CC37" i="68"/>
  <c r="BC35" i="68"/>
  <c r="BD35" i="68"/>
  <c r="BE35" i="68"/>
  <c r="BF35" i="68"/>
  <c r="BC36" i="68"/>
  <c r="BD36" i="68"/>
  <c r="BE36" i="68"/>
  <c r="BF36" i="68"/>
  <c r="BC37" i="68"/>
  <c r="BD37" i="68"/>
  <c r="BE37" i="68"/>
  <c r="BF37" i="68"/>
  <c r="Z36" i="68"/>
  <c r="AA36" i="68"/>
  <c r="AB36" i="68"/>
  <c r="AC36" i="68"/>
  <c r="AD36" i="68"/>
  <c r="AE36" i="68"/>
  <c r="AF36" i="68"/>
  <c r="Z37" i="68"/>
  <c r="AA37" i="68"/>
  <c r="AB37" i="68"/>
  <c r="AC37" i="68"/>
  <c r="AD37" i="68"/>
  <c r="AE37" i="68"/>
  <c r="AF37" i="68"/>
  <c r="Y36" i="68"/>
  <c r="Y37" i="68"/>
  <c r="M79" i="41" l="1"/>
  <c r="I6" i="50"/>
  <c r="M66" i="41"/>
  <c r="I61" i="65"/>
  <c r="I54" i="66" s="1"/>
  <c r="A87" i="71"/>
  <c r="M68" i="68"/>
  <c r="N68" i="68"/>
  <c r="A85" i="68"/>
  <c r="DG36" i="68"/>
  <c r="DG35" i="68"/>
  <c r="A86" i="63"/>
  <c r="DG37" i="68"/>
  <c r="A6" i="66"/>
  <c r="A6" i="65"/>
  <c r="A6" i="64"/>
  <c r="A6" i="63"/>
  <c r="H62" i="64" l="1"/>
  <c r="H53" i="65" s="1"/>
  <c r="I8" i="50"/>
  <c r="K6" i="50"/>
  <c r="K25" i="50" s="1"/>
  <c r="I25" i="50"/>
  <c r="I7" i="50"/>
  <c r="O68" i="68"/>
  <c r="P68" i="68" s="1"/>
  <c r="M70" i="68"/>
  <c r="Q30" i="43"/>
  <c r="H31" i="43"/>
  <c r="I31" i="43"/>
  <c r="R31" i="43"/>
  <c r="S30" i="43"/>
  <c r="AM31" i="43"/>
  <c r="AL30" i="43"/>
  <c r="AK30" i="43"/>
  <c r="AJ30" i="43"/>
  <c r="AI30" i="43"/>
  <c r="AM30" i="43"/>
  <c r="AL31" i="43"/>
  <c r="AJ31" i="43"/>
  <c r="AK31" i="43"/>
  <c r="AI31" i="43"/>
  <c r="AB31" i="43"/>
  <c r="AA30" i="43"/>
  <c r="Z30" i="43"/>
  <c r="AB30" i="43"/>
  <c r="AC30" i="43"/>
  <c r="Z31" i="43"/>
  <c r="AA31" i="43"/>
  <c r="AC31" i="43"/>
  <c r="Y31" i="43"/>
  <c r="Y30" i="43"/>
  <c r="O31" i="43"/>
  <c r="O30" i="43"/>
  <c r="P30" i="43"/>
  <c r="P31" i="43"/>
  <c r="Q31" i="43"/>
  <c r="S31" i="43"/>
  <c r="R30" i="43"/>
  <c r="E31" i="43"/>
  <c r="E30" i="43"/>
  <c r="F31" i="43"/>
  <c r="G31" i="43"/>
  <c r="F30" i="43"/>
  <c r="G30" i="43"/>
  <c r="H30" i="43"/>
  <c r="I30" i="43"/>
  <c r="I70" i="1"/>
  <c r="I61" i="1"/>
  <c r="I52" i="1"/>
  <c r="B10" i="1"/>
  <c r="AE6" i="43"/>
  <c r="U6" i="43"/>
  <c r="K6" i="43"/>
  <c r="A6" i="43"/>
  <c r="C3" i="74"/>
  <c r="I62" i="66" l="1"/>
  <c r="I54" i="67" s="1"/>
  <c r="I62" i="67" s="1"/>
  <c r="I52" i="68" s="1"/>
  <c r="I60" i="68" s="1"/>
  <c r="I54" i="69" s="1"/>
  <c r="H61" i="65"/>
  <c r="H54" i="66" s="1"/>
  <c r="K8" i="50"/>
  <c r="K33" i="50" s="1"/>
  <c r="I33" i="50"/>
  <c r="K7" i="50"/>
  <c r="K26" i="50" s="1"/>
  <c r="I26" i="50"/>
  <c r="I9" i="50"/>
  <c r="J65" i="68"/>
  <c r="M83" i="73"/>
  <c r="N82" i="73"/>
  <c r="M82" i="73"/>
  <c r="N80" i="73"/>
  <c r="M80" i="73"/>
  <c r="N78" i="73"/>
  <c r="M78" i="73"/>
  <c r="N77" i="73"/>
  <c r="M77" i="73"/>
  <c r="N76" i="73"/>
  <c r="M76" i="73"/>
  <c r="N75" i="73"/>
  <c r="M75" i="73"/>
  <c r="N74" i="73"/>
  <c r="M74" i="73"/>
  <c r="N73" i="73"/>
  <c r="M73" i="73"/>
  <c r="M82" i="72"/>
  <c r="N81" i="72"/>
  <c r="M81" i="72"/>
  <c r="N79" i="72"/>
  <c r="M79" i="72"/>
  <c r="N77" i="72"/>
  <c r="M77" i="72"/>
  <c r="N76" i="72"/>
  <c r="M76" i="72"/>
  <c r="N75" i="72"/>
  <c r="M75" i="72"/>
  <c r="N74" i="72"/>
  <c r="M74" i="72"/>
  <c r="N73" i="72"/>
  <c r="M73" i="72"/>
  <c r="N72" i="72"/>
  <c r="M72" i="72"/>
  <c r="M83" i="71"/>
  <c r="N82" i="71"/>
  <c r="M82" i="71"/>
  <c r="N80" i="71"/>
  <c r="M80" i="71"/>
  <c r="N78" i="71"/>
  <c r="M78" i="71"/>
  <c r="N77" i="71"/>
  <c r="M77" i="71"/>
  <c r="N76" i="71"/>
  <c r="M76" i="71"/>
  <c r="N75" i="71"/>
  <c r="M75" i="71"/>
  <c r="N74" i="71"/>
  <c r="M74" i="71"/>
  <c r="N73" i="71"/>
  <c r="M73" i="71"/>
  <c r="M82" i="70"/>
  <c r="N81" i="70"/>
  <c r="M81" i="70"/>
  <c r="N79" i="70"/>
  <c r="M79" i="70"/>
  <c r="N77" i="70"/>
  <c r="M77" i="70"/>
  <c r="N76" i="70"/>
  <c r="M76" i="70"/>
  <c r="N75" i="70"/>
  <c r="M75" i="70"/>
  <c r="N74" i="70"/>
  <c r="M74" i="70"/>
  <c r="N73" i="70"/>
  <c r="M73" i="70"/>
  <c r="N72" i="70"/>
  <c r="M72" i="70"/>
  <c r="M83" i="69"/>
  <c r="N82" i="69"/>
  <c r="M82" i="69"/>
  <c r="N80" i="69"/>
  <c r="M80" i="69"/>
  <c r="N78" i="69"/>
  <c r="M78" i="69"/>
  <c r="N77" i="69"/>
  <c r="M77" i="69"/>
  <c r="N76" i="69"/>
  <c r="M76" i="69"/>
  <c r="N75" i="69"/>
  <c r="M75" i="69"/>
  <c r="N74" i="69"/>
  <c r="M74" i="69"/>
  <c r="N73" i="69"/>
  <c r="M73" i="69"/>
  <c r="M81" i="68"/>
  <c r="N80" i="68"/>
  <c r="M80" i="68"/>
  <c r="N78" i="68"/>
  <c r="M78" i="68"/>
  <c r="M77" i="68"/>
  <c r="N76" i="68"/>
  <c r="M76" i="68"/>
  <c r="N75" i="68"/>
  <c r="M75" i="68"/>
  <c r="N74" i="68"/>
  <c r="M74" i="68"/>
  <c r="N73" i="68"/>
  <c r="M73" i="68"/>
  <c r="N72" i="68"/>
  <c r="M72" i="68"/>
  <c r="N71" i="68"/>
  <c r="M71" i="68"/>
  <c r="M83" i="67"/>
  <c r="N82" i="67"/>
  <c r="M82" i="67"/>
  <c r="N80" i="67"/>
  <c r="M80" i="67"/>
  <c r="N77" i="67"/>
  <c r="M77" i="67"/>
  <c r="N76" i="67"/>
  <c r="M76" i="67"/>
  <c r="N75" i="67"/>
  <c r="M75" i="67"/>
  <c r="N74" i="67"/>
  <c r="M74" i="67"/>
  <c r="N73" i="67"/>
  <c r="M73" i="67"/>
  <c r="M83" i="66"/>
  <c r="N82" i="66"/>
  <c r="M82" i="66"/>
  <c r="N80" i="66"/>
  <c r="M80" i="66"/>
  <c r="N78" i="66"/>
  <c r="M78" i="66"/>
  <c r="N77" i="66"/>
  <c r="M77" i="66"/>
  <c r="N76" i="66"/>
  <c r="M76" i="66"/>
  <c r="N75" i="66"/>
  <c r="M75" i="66"/>
  <c r="N74" i="66"/>
  <c r="M74" i="66"/>
  <c r="N73" i="66"/>
  <c r="M73" i="66"/>
  <c r="M82" i="65"/>
  <c r="N81" i="65"/>
  <c r="M81" i="65"/>
  <c r="N79" i="65"/>
  <c r="M79" i="65"/>
  <c r="N77" i="65"/>
  <c r="M77" i="65"/>
  <c r="N76" i="65"/>
  <c r="M76" i="65"/>
  <c r="N75" i="65"/>
  <c r="M75" i="65"/>
  <c r="N74" i="65"/>
  <c r="M74" i="65"/>
  <c r="N73" i="65"/>
  <c r="M73" i="65"/>
  <c r="N72" i="65"/>
  <c r="M72" i="65"/>
  <c r="M83" i="64"/>
  <c r="N82" i="64"/>
  <c r="M82" i="64"/>
  <c r="M81" i="64"/>
  <c r="N80" i="64"/>
  <c r="M80" i="64"/>
  <c r="N78" i="64"/>
  <c r="M78" i="64"/>
  <c r="M77" i="64"/>
  <c r="N76" i="64"/>
  <c r="M76" i="64"/>
  <c r="N75" i="64"/>
  <c r="N74" i="64"/>
  <c r="M74" i="64"/>
  <c r="N73" i="64"/>
  <c r="M73" i="64"/>
  <c r="N81" i="63"/>
  <c r="M81" i="63"/>
  <c r="N79" i="63"/>
  <c r="M79" i="63"/>
  <c r="N77" i="63"/>
  <c r="M77" i="63"/>
  <c r="N76" i="63"/>
  <c r="M76" i="63"/>
  <c r="N75" i="63"/>
  <c r="M75" i="63"/>
  <c r="N74" i="63"/>
  <c r="M74" i="63"/>
  <c r="N73" i="63"/>
  <c r="M73" i="63"/>
  <c r="N72" i="63"/>
  <c r="M72" i="63"/>
  <c r="N71" i="41"/>
  <c r="M71" i="41"/>
  <c r="M69" i="41"/>
  <c r="N68" i="72"/>
  <c r="M68" i="72"/>
  <c r="N68" i="70"/>
  <c r="M68" i="70"/>
  <c r="N68" i="65"/>
  <c r="M68" i="65"/>
  <c r="N68" i="63"/>
  <c r="M69" i="73"/>
  <c r="N69" i="73"/>
  <c r="N69" i="71"/>
  <c r="M69" i="71"/>
  <c r="N69" i="69"/>
  <c r="M69" i="69"/>
  <c r="N69" i="67"/>
  <c r="M69" i="67"/>
  <c r="N69" i="66"/>
  <c r="M69" i="66"/>
  <c r="M69" i="64"/>
  <c r="N69" i="64"/>
  <c r="N65" i="41"/>
  <c r="N67" i="63"/>
  <c r="N78" i="63" s="1"/>
  <c r="M67" i="63"/>
  <c r="M78" i="63" s="1"/>
  <c r="M75" i="41"/>
  <c r="N68" i="71"/>
  <c r="N71" i="71" s="1"/>
  <c r="N67" i="70"/>
  <c r="N70" i="70" s="1"/>
  <c r="T71" i="73"/>
  <c r="S71" i="73"/>
  <c r="T70" i="72"/>
  <c r="S70" i="72"/>
  <c r="T71" i="71"/>
  <c r="T70" i="70"/>
  <c r="S70" i="70"/>
  <c r="T71" i="69"/>
  <c r="S71" i="69"/>
  <c r="T69" i="68"/>
  <c r="S69" i="68"/>
  <c r="T71" i="67"/>
  <c r="S71" i="67"/>
  <c r="T71" i="66"/>
  <c r="S71" i="66"/>
  <c r="T70" i="65"/>
  <c r="S70" i="65"/>
  <c r="T71" i="64"/>
  <c r="S71" i="64"/>
  <c r="T70" i="63"/>
  <c r="S70" i="63"/>
  <c r="X40" i="73"/>
  <c r="W40" i="73"/>
  <c r="V40" i="73"/>
  <c r="X40" i="71"/>
  <c r="W40" i="71"/>
  <c r="V40" i="71"/>
  <c r="X40" i="69"/>
  <c r="W40" i="69"/>
  <c r="V40" i="69"/>
  <c r="X40" i="67"/>
  <c r="W40" i="67"/>
  <c r="V40" i="67"/>
  <c r="N68" i="66"/>
  <c r="N79" i="66" s="1"/>
  <c r="M68" i="66"/>
  <c r="M81" i="66" s="1"/>
  <c r="X40" i="66"/>
  <c r="W40" i="66"/>
  <c r="V40" i="66"/>
  <c r="N69" i="68"/>
  <c r="M79" i="68"/>
  <c r="N67" i="72"/>
  <c r="N78" i="72" s="1"/>
  <c r="M67" i="72"/>
  <c r="M78" i="72" s="1"/>
  <c r="M67" i="70"/>
  <c r="M80" i="70" s="1"/>
  <c r="N67" i="65"/>
  <c r="N78" i="65" s="1"/>
  <c r="M67" i="65"/>
  <c r="M78" i="65" s="1"/>
  <c r="N68" i="73"/>
  <c r="N79" i="73" s="1"/>
  <c r="M68" i="73"/>
  <c r="M79" i="73" s="1"/>
  <c r="M68" i="71"/>
  <c r="M81" i="71" s="1"/>
  <c r="N68" i="69"/>
  <c r="N81" i="69" s="1"/>
  <c r="M68" i="69"/>
  <c r="M81" i="69" s="1"/>
  <c r="N68" i="67"/>
  <c r="N81" i="67" s="1"/>
  <c r="M68" i="67"/>
  <c r="M79" i="67" s="1"/>
  <c r="N68" i="64"/>
  <c r="N79" i="64" s="1"/>
  <c r="M68" i="64"/>
  <c r="M79" i="64" s="1"/>
  <c r="A51" i="64"/>
  <c r="A49" i="64"/>
  <c r="A47" i="64"/>
  <c r="A47" i="63"/>
  <c r="M73" i="41"/>
  <c r="N74" i="41"/>
  <c r="N73" i="41"/>
  <c r="M74" i="41"/>
  <c r="M77" i="41"/>
  <c r="M76" i="41"/>
  <c r="J23" i="1" l="1"/>
  <c r="I10" i="50"/>
  <c r="I35" i="50" s="1"/>
  <c r="H62" i="66"/>
  <c r="M82" i="63"/>
  <c r="K10" i="50"/>
  <c r="K35" i="50" s="1"/>
  <c r="I62" i="69"/>
  <c r="I53" i="70" s="1"/>
  <c r="I11" i="50"/>
  <c r="I34" i="50"/>
  <c r="K9" i="50"/>
  <c r="K34" i="50" s="1"/>
  <c r="N78" i="41"/>
  <c r="M71" i="69"/>
  <c r="I48" i="69" s="1"/>
  <c r="M71" i="73"/>
  <c r="N71" i="73"/>
  <c r="N70" i="72"/>
  <c r="M70" i="72"/>
  <c r="M71" i="71"/>
  <c r="I48" i="71" s="1"/>
  <c r="M70" i="70"/>
  <c r="I47" i="70" s="1"/>
  <c r="N71" i="69"/>
  <c r="I46" i="68"/>
  <c r="M71" i="67"/>
  <c r="N71" i="67"/>
  <c r="M71" i="66"/>
  <c r="I48" i="66" s="1"/>
  <c r="N71" i="66"/>
  <c r="N70" i="65"/>
  <c r="M70" i="65"/>
  <c r="M71" i="64"/>
  <c r="I48" i="64" s="1"/>
  <c r="N71" i="64"/>
  <c r="N70" i="63"/>
  <c r="M70" i="63"/>
  <c r="M81" i="73"/>
  <c r="N81" i="73"/>
  <c r="M80" i="72"/>
  <c r="N80" i="72"/>
  <c r="N81" i="71"/>
  <c r="N79" i="71"/>
  <c r="M79" i="71"/>
  <c r="M78" i="70"/>
  <c r="N78" i="70"/>
  <c r="N80" i="70"/>
  <c r="M79" i="69"/>
  <c r="N79" i="69"/>
  <c r="N77" i="68"/>
  <c r="V42" i="68" s="1"/>
  <c r="N79" i="68"/>
  <c r="N79" i="67"/>
  <c r="M81" i="67"/>
  <c r="M70" i="66"/>
  <c r="N81" i="66"/>
  <c r="M79" i="66"/>
  <c r="M80" i="65"/>
  <c r="N80" i="65"/>
  <c r="N69" i="65"/>
  <c r="N81" i="64"/>
  <c r="M80" i="63"/>
  <c r="N80" i="63"/>
  <c r="N77" i="41"/>
  <c r="N75" i="41"/>
  <c r="N69" i="41"/>
  <c r="N70" i="66"/>
  <c r="N69" i="63"/>
  <c r="M69" i="63"/>
  <c r="N70" i="67"/>
  <c r="N69" i="70"/>
  <c r="N70" i="73"/>
  <c r="M70" i="73"/>
  <c r="N69" i="72"/>
  <c r="M69" i="72"/>
  <c r="M70" i="71"/>
  <c r="N70" i="71"/>
  <c r="M69" i="70"/>
  <c r="M70" i="69"/>
  <c r="N70" i="69"/>
  <c r="M70" i="67"/>
  <c r="M69" i="65"/>
  <c r="M70" i="64"/>
  <c r="N70" i="64"/>
  <c r="N67" i="41"/>
  <c r="N76" i="41"/>
  <c r="N66" i="41"/>
  <c r="M78" i="41"/>
  <c r="I49" i="41" s="1"/>
  <c r="H60" i="68" l="1"/>
  <c r="H54" i="69" s="1"/>
  <c r="I42" i="50"/>
  <c r="K11" i="50"/>
  <c r="K42" i="50" s="1"/>
  <c r="I61" i="70"/>
  <c r="I12" i="50"/>
  <c r="I48" i="67"/>
  <c r="I48" i="73"/>
  <c r="I47" i="72"/>
  <c r="I47" i="65"/>
  <c r="Q70" i="66"/>
  <c r="S72" i="66" s="1"/>
  <c r="I47" i="63"/>
  <c r="Q70" i="71"/>
  <c r="Q70" i="73"/>
  <c r="S72" i="73" s="1"/>
  <c r="Q69" i="63"/>
  <c r="S71" i="63" s="1"/>
  <c r="O69" i="63"/>
  <c r="O70" i="67"/>
  <c r="O70" i="66"/>
  <c r="Q69" i="70"/>
  <c r="S71" i="70" s="1"/>
  <c r="O69" i="65"/>
  <c r="Q70" i="67"/>
  <c r="S72" i="67" s="1"/>
  <c r="O70" i="73"/>
  <c r="Q69" i="72"/>
  <c r="S71" i="72" s="1"/>
  <c r="O69" i="72"/>
  <c r="O70" i="71"/>
  <c r="O69" i="70"/>
  <c r="O70" i="69"/>
  <c r="Q70" i="69"/>
  <c r="S72" i="69" s="1"/>
  <c r="Q68" i="68"/>
  <c r="S70" i="68" s="1"/>
  <c r="Q69" i="65"/>
  <c r="S71" i="65" s="1"/>
  <c r="O70" i="64"/>
  <c r="Q70" i="64"/>
  <c r="S72" i="64" s="1"/>
  <c r="H62" i="69" l="1"/>
  <c r="H53" i="70" s="1"/>
  <c r="I43" i="50"/>
  <c r="K12" i="50"/>
  <c r="K43" i="50" s="1"/>
  <c r="I61" i="72"/>
  <c r="I54" i="73" s="1"/>
  <c r="I13" i="50"/>
  <c r="S72" i="71"/>
  <c r="S71" i="71"/>
  <c r="J26" i="1"/>
  <c r="P70" i="73"/>
  <c r="N72" i="73"/>
  <c r="M72" i="73"/>
  <c r="V44" i="73" s="1"/>
  <c r="P69" i="72"/>
  <c r="N71" i="72"/>
  <c r="M71" i="72"/>
  <c r="V43" i="72" s="1"/>
  <c r="P70" i="71"/>
  <c r="N72" i="71"/>
  <c r="M72" i="71"/>
  <c r="P69" i="70"/>
  <c r="M71" i="70"/>
  <c r="V43" i="70" s="1"/>
  <c r="N71" i="70"/>
  <c r="P70" i="69"/>
  <c r="N72" i="69"/>
  <c r="M72" i="69"/>
  <c r="V44" i="69" s="1"/>
  <c r="N70" i="68"/>
  <c r="P70" i="67"/>
  <c r="M72" i="67"/>
  <c r="V44" i="67" s="1"/>
  <c r="N72" i="67"/>
  <c r="P70" i="66"/>
  <c r="N72" i="66"/>
  <c r="M72" i="66"/>
  <c r="V44" i="66" s="1"/>
  <c r="P69" i="65"/>
  <c r="N71" i="65"/>
  <c r="M71" i="65"/>
  <c r="V43" i="65" s="1"/>
  <c r="N72" i="64"/>
  <c r="M72" i="64"/>
  <c r="N71" i="63"/>
  <c r="M71" i="63"/>
  <c r="V43" i="63" s="1"/>
  <c r="P70" i="64"/>
  <c r="M75" i="64"/>
  <c r="N77" i="64"/>
  <c r="P69" i="63"/>
  <c r="I62" i="73" l="1"/>
  <c r="I15" i="50"/>
  <c r="H61" i="70"/>
  <c r="H54" i="71" s="1"/>
  <c r="K13" i="50"/>
  <c r="K44" i="50" s="1"/>
  <c r="I44" i="50"/>
  <c r="K51" i="50"/>
  <c r="V44" i="71"/>
  <c r="V44" i="64"/>
  <c r="H62" i="71" l="1"/>
  <c r="H53" i="72" s="1"/>
  <c r="I52" i="50"/>
  <c r="K15" i="50"/>
  <c r="K52" i="50" s="1"/>
  <c r="I16" i="50"/>
  <c r="A36"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 i="25"/>
  <c r="AB4" i="24"/>
  <c r="AB5" i="24"/>
  <c r="AB6" i="24"/>
  <c r="AB7" i="24"/>
  <c r="AB8" i="24"/>
  <c r="AB9" i="24"/>
  <c r="AB10" i="24"/>
  <c r="AB11" i="24"/>
  <c r="AB12" i="24"/>
  <c r="AB13" i="24"/>
  <c r="AB14" i="24"/>
  <c r="AB15" i="24"/>
  <c r="AB16" i="24"/>
  <c r="AB17" i="24"/>
  <c r="AB18" i="24"/>
  <c r="AB19" i="24"/>
  <c r="AB20" i="24"/>
  <c r="AB21" i="24"/>
  <c r="AB22" i="24"/>
  <c r="AB23" i="24"/>
  <c r="AB24" i="24"/>
  <c r="AB25" i="24"/>
  <c r="AB26" i="24"/>
  <c r="AB27" i="24"/>
  <c r="AB28" i="24"/>
  <c r="AB29" i="24"/>
  <c r="AB30" i="24"/>
  <c r="AB31" i="24"/>
  <c r="AB32" i="24"/>
  <c r="AB33" i="24"/>
  <c r="AB3" i="24"/>
  <c r="W4" i="24"/>
  <c r="W5" i="24"/>
  <c r="W6" i="24"/>
  <c r="W7" i="24"/>
  <c r="W8" i="24"/>
  <c r="W9" i="24"/>
  <c r="W10" i="24"/>
  <c r="W11" i="24"/>
  <c r="W12" i="24"/>
  <c r="W13" i="24"/>
  <c r="W14" i="24"/>
  <c r="W15" i="24"/>
  <c r="W16" i="24"/>
  <c r="W17" i="24"/>
  <c r="W18" i="24"/>
  <c r="W19" i="24"/>
  <c r="W20" i="24"/>
  <c r="W21" i="24"/>
  <c r="W22" i="24"/>
  <c r="W23" i="24"/>
  <c r="W24" i="24"/>
  <c r="W25" i="24"/>
  <c r="W26" i="24"/>
  <c r="W27" i="24"/>
  <c r="W28" i="24"/>
  <c r="W29" i="24"/>
  <c r="W30" i="24"/>
  <c r="W31" i="24"/>
  <c r="W32" i="24"/>
  <c r="W33" i="24"/>
  <c r="W3" i="24"/>
  <c r="R4" i="24"/>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 i="24"/>
  <c r="M4" i="24"/>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 i="24"/>
  <c r="X39" i="72"/>
  <c r="W39" i="72"/>
  <c r="V39" i="72"/>
  <c r="X39" i="70"/>
  <c r="W39" i="70"/>
  <c r="V39" i="70"/>
  <c r="X39" i="65"/>
  <c r="W39" i="65"/>
  <c r="V39" i="65"/>
  <c r="V40" i="64"/>
  <c r="X40" i="64"/>
  <c r="W40" i="64"/>
  <c r="X39" i="63"/>
  <c r="W39" i="63"/>
  <c r="V39" i="63"/>
  <c r="X41" i="41"/>
  <c r="I51" i="41" s="1"/>
  <c r="W41" i="41"/>
  <c r="J24" i="61" s="1"/>
  <c r="AF38" i="72"/>
  <c r="AF37" i="72"/>
  <c r="AF36" i="72"/>
  <c r="AF35" i="72"/>
  <c r="AF34" i="72"/>
  <c r="AF33" i="72"/>
  <c r="AF32" i="72"/>
  <c r="AF31" i="72"/>
  <c r="AF30" i="72"/>
  <c r="AF29" i="72"/>
  <c r="AF28" i="72"/>
  <c r="AF27" i="72"/>
  <c r="AF26" i="72"/>
  <c r="AF25" i="72"/>
  <c r="AF24" i="72"/>
  <c r="AF23" i="72"/>
  <c r="AF22" i="72"/>
  <c r="AF21" i="72"/>
  <c r="AF20" i="72"/>
  <c r="AF19" i="72"/>
  <c r="AF18" i="72"/>
  <c r="AF17" i="72"/>
  <c r="AF16" i="72"/>
  <c r="AF15" i="72"/>
  <c r="AF14" i="72"/>
  <c r="AF13" i="72"/>
  <c r="AF12" i="72"/>
  <c r="AF11" i="72"/>
  <c r="AF10" i="72"/>
  <c r="AF9" i="72"/>
  <c r="AF38" i="70"/>
  <c r="AF37" i="70"/>
  <c r="AF36" i="70"/>
  <c r="AF35" i="70"/>
  <c r="AF34" i="70"/>
  <c r="AF33" i="70"/>
  <c r="AF32" i="70"/>
  <c r="AF31" i="70"/>
  <c r="AF30" i="70"/>
  <c r="AF29" i="70"/>
  <c r="AF28" i="70"/>
  <c r="AF27" i="70"/>
  <c r="AF26" i="70"/>
  <c r="AF25" i="70"/>
  <c r="AF24" i="70"/>
  <c r="AF23" i="70"/>
  <c r="AF22" i="70"/>
  <c r="AF21" i="70"/>
  <c r="AF20" i="70"/>
  <c r="AF19" i="70"/>
  <c r="AF18" i="70"/>
  <c r="AF17" i="70"/>
  <c r="AF16" i="70"/>
  <c r="AF15" i="70"/>
  <c r="AF14" i="70"/>
  <c r="AF13" i="70"/>
  <c r="AF12" i="70"/>
  <c r="AF11" i="70"/>
  <c r="AF10" i="70"/>
  <c r="AF9" i="70"/>
  <c r="AF35" i="68"/>
  <c r="AF34" i="68"/>
  <c r="AF33" i="68"/>
  <c r="AF32" i="68"/>
  <c r="AF31" i="68"/>
  <c r="AF30" i="68"/>
  <c r="AF29" i="68"/>
  <c r="AF28" i="68"/>
  <c r="AF27" i="68"/>
  <c r="AF26" i="68"/>
  <c r="AF25" i="68"/>
  <c r="AF24" i="68"/>
  <c r="AF23" i="68"/>
  <c r="AF22" i="68"/>
  <c r="AF21" i="68"/>
  <c r="AF20" i="68"/>
  <c r="AF19" i="68"/>
  <c r="AF18" i="68"/>
  <c r="AF17" i="68"/>
  <c r="AF16" i="68"/>
  <c r="AF15" i="68"/>
  <c r="AF14" i="68"/>
  <c r="AF13" i="68"/>
  <c r="AF12" i="68"/>
  <c r="AF11" i="68"/>
  <c r="AF10" i="68"/>
  <c r="AF9" i="68"/>
  <c r="AF39" i="73"/>
  <c r="AF38" i="73"/>
  <c r="AF37" i="73"/>
  <c r="AF36" i="73"/>
  <c r="AF35" i="73"/>
  <c r="AF34" i="73"/>
  <c r="AF33" i="73"/>
  <c r="AF32" i="73"/>
  <c r="AF31" i="73"/>
  <c r="AF30" i="73"/>
  <c r="AF29" i="73"/>
  <c r="AF28" i="73"/>
  <c r="AF27" i="73"/>
  <c r="AF26" i="73"/>
  <c r="AF25" i="73"/>
  <c r="AF24" i="73"/>
  <c r="AF23" i="73"/>
  <c r="AF22" i="73"/>
  <c r="AF21" i="73"/>
  <c r="AF20" i="73"/>
  <c r="AF19" i="73"/>
  <c r="AF18" i="73"/>
  <c r="AF17" i="73"/>
  <c r="AF16" i="73"/>
  <c r="AF15" i="73"/>
  <c r="AF14" i="73"/>
  <c r="AF13" i="73"/>
  <c r="AF12" i="73"/>
  <c r="AF11" i="73"/>
  <c r="AF10" i="73"/>
  <c r="AF9" i="73"/>
  <c r="AF39" i="71"/>
  <c r="AF38" i="71"/>
  <c r="AF37" i="71"/>
  <c r="AF36" i="71"/>
  <c r="AF35" i="71"/>
  <c r="AF34" i="71"/>
  <c r="AF33" i="71"/>
  <c r="AF32" i="71"/>
  <c r="AF31" i="71"/>
  <c r="AF30" i="71"/>
  <c r="AF29" i="71"/>
  <c r="AF28" i="71"/>
  <c r="AF27" i="71"/>
  <c r="AF26" i="71"/>
  <c r="AF25" i="71"/>
  <c r="AF24" i="71"/>
  <c r="AF23" i="71"/>
  <c r="AF22" i="71"/>
  <c r="AF21" i="71"/>
  <c r="AF20" i="71"/>
  <c r="AF19" i="71"/>
  <c r="AF18" i="71"/>
  <c r="AF17" i="71"/>
  <c r="AF16" i="71"/>
  <c r="AF15" i="71"/>
  <c r="AF14" i="71"/>
  <c r="AF13" i="71"/>
  <c r="AF12" i="71"/>
  <c r="AF11" i="71"/>
  <c r="AF10" i="71"/>
  <c r="AF9" i="71"/>
  <c r="AF39" i="69"/>
  <c r="AF38" i="69"/>
  <c r="AF37" i="69"/>
  <c r="AF36" i="69"/>
  <c r="AF35" i="69"/>
  <c r="AF34" i="69"/>
  <c r="AF33" i="69"/>
  <c r="AF32" i="69"/>
  <c r="AF31" i="69"/>
  <c r="AF30" i="69"/>
  <c r="AF29" i="69"/>
  <c r="AF28" i="69"/>
  <c r="AF27" i="69"/>
  <c r="AF26" i="69"/>
  <c r="AF25" i="69"/>
  <c r="AF24" i="69"/>
  <c r="AF23" i="69"/>
  <c r="AF22" i="69"/>
  <c r="AF21" i="69"/>
  <c r="AF20" i="69"/>
  <c r="AF19" i="69"/>
  <c r="AF18" i="69"/>
  <c r="AF17" i="69"/>
  <c r="AF16" i="69"/>
  <c r="AF15" i="69"/>
  <c r="AF14" i="69"/>
  <c r="AF13" i="69"/>
  <c r="AF12" i="69"/>
  <c r="AF11" i="69"/>
  <c r="AF10" i="69"/>
  <c r="AF9" i="69"/>
  <c r="AF39" i="67"/>
  <c r="AF38" i="67"/>
  <c r="AF37" i="67"/>
  <c r="AF36" i="67"/>
  <c r="AF35" i="67"/>
  <c r="AF34" i="67"/>
  <c r="AF33" i="67"/>
  <c r="AF32" i="67"/>
  <c r="AF31" i="67"/>
  <c r="AF30" i="67"/>
  <c r="AF29" i="67"/>
  <c r="AF28" i="67"/>
  <c r="AF27" i="67"/>
  <c r="AF26" i="67"/>
  <c r="AF25" i="67"/>
  <c r="AF24" i="67"/>
  <c r="AF23" i="67"/>
  <c r="AF22" i="67"/>
  <c r="AF21" i="67"/>
  <c r="AF20" i="67"/>
  <c r="AF19" i="67"/>
  <c r="AF18" i="67"/>
  <c r="AF17" i="67"/>
  <c r="AF16" i="67"/>
  <c r="AF15" i="67"/>
  <c r="AF14" i="67"/>
  <c r="AF13" i="67"/>
  <c r="AF12" i="67"/>
  <c r="AF11" i="67"/>
  <c r="AF10" i="67"/>
  <c r="AF9" i="67"/>
  <c r="AF39" i="66"/>
  <c r="AF38" i="66"/>
  <c r="AF37" i="66"/>
  <c r="AF36" i="66"/>
  <c r="AF35" i="66"/>
  <c r="AF34" i="66"/>
  <c r="AF33" i="66"/>
  <c r="AF32" i="66"/>
  <c r="AF31" i="66"/>
  <c r="AF30" i="66"/>
  <c r="AF29" i="66"/>
  <c r="AF28" i="66"/>
  <c r="AF27" i="66"/>
  <c r="AF26" i="66"/>
  <c r="AF25" i="66"/>
  <c r="AF24" i="66"/>
  <c r="AF23" i="66"/>
  <c r="AF22" i="66"/>
  <c r="AF21" i="66"/>
  <c r="AF20" i="66"/>
  <c r="AF19" i="66"/>
  <c r="AF18" i="66"/>
  <c r="AF17" i="66"/>
  <c r="AF16" i="66"/>
  <c r="AF15" i="66"/>
  <c r="AF14" i="66"/>
  <c r="AF12" i="66"/>
  <c r="AF11" i="66"/>
  <c r="AF10" i="66"/>
  <c r="AF9" i="66"/>
  <c r="AF10" i="65"/>
  <c r="AF11" i="65"/>
  <c r="AF12" i="65"/>
  <c r="AF13" i="65"/>
  <c r="AF14" i="65"/>
  <c r="AF15" i="65"/>
  <c r="AF16" i="65"/>
  <c r="AF17" i="65"/>
  <c r="AF18" i="65"/>
  <c r="AF19" i="65"/>
  <c r="AF20" i="65"/>
  <c r="AF21" i="65"/>
  <c r="AF22" i="65"/>
  <c r="AF23" i="65"/>
  <c r="AF24" i="65"/>
  <c r="AF25" i="65"/>
  <c r="AF26" i="65"/>
  <c r="AF27" i="65"/>
  <c r="AF28" i="65"/>
  <c r="AF29" i="65"/>
  <c r="AF30" i="65"/>
  <c r="AF31" i="65"/>
  <c r="AF32" i="65"/>
  <c r="AF33" i="65"/>
  <c r="AF34" i="65"/>
  <c r="AF35" i="65"/>
  <c r="AF36" i="65"/>
  <c r="AF37" i="65"/>
  <c r="AF38" i="65"/>
  <c r="AF9" i="65"/>
  <c r="AF10" i="64"/>
  <c r="AF11" i="64"/>
  <c r="AF12" i="64"/>
  <c r="AF13" i="64"/>
  <c r="AF14" i="64"/>
  <c r="AF15" i="64"/>
  <c r="AF16" i="64"/>
  <c r="AF17" i="64"/>
  <c r="AF18" i="64"/>
  <c r="AF19" i="64"/>
  <c r="AF20" i="64"/>
  <c r="AF21" i="64"/>
  <c r="AF22" i="64"/>
  <c r="AF23" i="64"/>
  <c r="AF24" i="64"/>
  <c r="AF25" i="64"/>
  <c r="AF26" i="64"/>
  <c r="AF27" i="64"/>
  <c r="AF28" i="64"/>
  <c r="AF29" i="64"/>
  <c r="AF30" i="64"/>
  <c r="AF31" i="64"/>
  <c r="AF32" i="64"/>
  <c r="AF33" i="64"/>
  <c r="AF34" i="64"/>
  <c r="AF35" i="64"/>
  <c r="AF36" i="64"/>
  <c r="AF37" i="64"/>
  <c r="AF38" i="64"/>
  <c r="AF39" i="64"/>
  <c r="AF9" i="64"/>
  <c r="AF10" i="63"/>
  <c r="AF11" i="63"/>
  <c r="AF12" i="63"/>
  <c r="AF13" i="63"/>
  <c r="AF14" i="63"/>
  <c r="AF15" i="63"/>
  <c r="AF16" i="63"/>
  <c r="AF17" i="63"/>
  <c r="AF18" i="63"/>
  <c r="AF19" i="63"/>
  <c r="AF20" i="63"/>
  <c r="AF21" i="63"/>
  <c r="AF22" i="63"/>
  <c r="AF23" i="63"/>
  <c r="AF24" i="63"/>
  <c r="AF25" i="63"/>
  <c r="AF26" i="63"/>
  <c r="AF27" i="63"/>
  <c r="AF28" i="63"/>
  <c r="AF29" i="63"/>
  <c r="AF30" i="63"/>
  <c r="AF31" i="63"/>
  <c r="AF32" i="63"/>
  <c r="AF33" i="63"/>
  <c r="AF34" i="63"/>
  <c r="AF35" i="63"/>
  <c r="AF36" i="63"/>
  <c r="AF37" i="63"/>
  <c r="AF38" i="63"/>
  <c r="AF9" i="63"/>
  <c r="AF11" i="41"/>
  <c r="AF12" i="41"/>
  <c r="AF13" i="41"/>
  <c r="AF14" i="41"/>
  <c r="AF15" i="41"/>
  <c r="AF16" i="41"/>
  <c r="AF17" i="41"/>
  <c r="AF18" i="41"/>
  <c r="AF19" i="41"/>
  <c r="AF20" i="41"/>
  <c r="AF21" i="41"/>
  <c r="AF22" i="41"/>
  <c r="AF23" i="41"/>
  <c r="AF24" i="41"/>
  <c r="AF25" i="41"/>
  <c r="AF26" i="41"/>
  <c r="AF27" i="41"/>
  <c r="AF28" i="41"/>
  <c r="AF29" i="41"/>
  <c r="AF30" i="41"/>
  <c r="AF31" i="41"/>
  <c r="AF32" i="41"/>
  <c r="AF33" i="41"/>
  <c r="AF34" i="41"/>
  <c r="AF35" i="41"/>
  <c r="AF36" i="41"/>
  <c r="AF37" i="41"/>
  <c r="AF38" i="41"/>
  <c r="AF39" i="41"/>
  <c r="AF40" i="41"/>
  <c r="AF10" i="41"/>
  <c r="D76" i="41"/>
  <c r="D74" i="63"/>
  <c r="D75" i="64"/>
  <c r="D74" i="65"/>
  <c r="D75" i="66"/>
  <c r="D75" i="67"/>
  <c r="D73" i="68"/>
  <c r="D75" i="69"/>
  <c r="D74" i="70"/>
  <c r="D75" i="71"/>
  <c r="D75" i="73"/>
  <c r="D74" i="72"/>
  <c r="H61" i="72" l="1"/>
  <c r="H54" i="73" s="1"/>
  <c r="I53" i="50"/>
  <c r="K16" i="50"/>
  <c r="K53" i="50" s="1"/>
  <c r="AF38" i="68"/>
  <c r="AF40" i="69"/>
  <c r="AV37" i="23"/>
  <c r="AF40" i="73"/>
  <c r="AF39" i="72"/>
  <c r="AF40" i="71"/>
  <c r="AF39" i="70"/>
  <c r="AF40" i="67"/>
  <c r="AF39" i="65"/>
  <c r="AF40" i="64"/>
  <c r="H62" i="73" l="1"/>
  <c r="U39" i="24"/>
  <c r="U40" i="25"/>
  <c r="AU4" i="23"/>
  <c r="AB4" i="25" s="1"/>
  <c r="AU5" i="23"/>
  <c r="AB5" i="25" s="1"/>
  <c r="AU6" i="23"/>
  <c r="AB6" i="25" s="1"/>
  <c r="AU7" i="23"/>
  <c r="AB7" i="25" s="1"/>
  <c r="AU8" i="23"/>
  <c r="AB8" i="25" s="1"/>
  <c r="AU9" i="23"/>
  <c r="AB9" i="25" s="1"/>
  <c r="AU10" i="23"/>
  <c r="AB10" i="25" s="1"/>
  <c r="AU11" i="23"/>
  <c r="AB11" i="25" s="1"/>
  <c r="AU12" i="23"/>
  <c r="AB12" i="25" s="1"/>
  <c r="AU13" i="23"/>
  <c r="AB13" i="25" s="1"/>
  <c r="AU14" i="23"/>
  <c r="AB14" i="25" s="1"/>
  <c r="AU15" i="23"/>
  <c r="AB15" i="25" s="1"/>
  <c r="AU16" i="23"/>
  <c r="AB16" i="25" s="1"/>
  <c r="AU17" i="23"/>
  <c r="AB17" i="25" s="1"/>
  <c r="AU18" i="23"/>
  <c r="AB18" i="25" s="1"/>
  <c r="AU19" i="23"/>
  <c r="AB19" i="25" s="1"/>
  <c r="AU20" i="23"/>
  <c r="AB20" i="25" s="1"/>
  <c r="AU21" i="23"/>
  <c r="AB21" i="25" s="1"/>
  <c r="AU22" i="23"/>
  <c r="AB22" i="25" s="1"/>
  <c r="AU23" i="23"/>
  <c r="AB23" i="25" s="1"/>
  <c r="AU24" i="23"/>
  <c r="AB24" i="25" s="1"/>
  <c r="AU25" i="23"/>
  <c r="AB25" i="25" s="1"/>
  <c r="AU26" i="23"/>
  <c r="AB26" i="25" s="1"/>
  <c r="AU27" i="23"/>
  <c r="AB27" i="25" s="1"/>
  <c r="AU28" i="23"/>
  <c r="AB28" i="25" s="1"/>
  <c r="AU29" i="23"/>
  <c r="AB29" i="25" s="1"/>
  <c r="AU30" i="23"/>
  <c r="AB30" i="25" s="1"/>
  <c r="AU31" i="23"/>
  <c r="AB31" i="25" s="1"/>
  <c r="AU32" i="23"/>
  <c r="AB32" i="25" s="1"/>
  <c r="AU33" i="23"/>
  <c r="AB33" i="25" s="1"/>
  <c r="AU3" i="23"/>
  <c r="AB3" i="25" s="1"/>
  <c r="AQ4" i="23"/>
  <c r="W4" i="25" s="1"/>
  <c r="AQ5" i="23"/>
  <c r="W5" i="25" s="1"/>
  <c r="AQ6" i="23"/>
  <c r="W6" i="25" s="1"/>
  <c r="AQ7" i="23"/>
  <c r="W7" i="25" s="1"/>
  <c r="AQ8" i="23"/>
  <c r="W8" i="25" s="1"/>
  <c r="AQ9" i="23"/>
  <c r="W9" i="25" s="1"/>
  <c r="AQ10" i="23"/>
  <c r="W10" i="25" s="1"/>
  <c r="AQ11" i="23"/>
  <c r="W11" i="25" s="1"/>
  <c r="AQ12" i="23"/>
  <c r="W12" i="25" s="1"/>
  <c r="AQ13" i="23"/>
  <c r="W13" i="25" s="1"/>
  <c r="AQ14" i="23"/>
  <c r="W14" i="25" s="1"/>
  <c r="AQ15" i="23"/>
  <c r="W15" i="25" s="1"/>
  <c r="AQ16" i="23"/>
  <c r="W16" i="25" s="1"/>
  <c r="AQ17" i="23"/>
  <c r="W17" i="25" s="1"/>
  <c r="AQ18" i="23"/>
  <c r="W18" i="25" s="1"/>
  <c r="AQ19" i="23"/>
  <c r="W19" i="25" s="1"/>
  <c r="AQ20" i="23"/>
  <c r="W20" i="25" s="1"/>
  <c r="AQ21" i="23"/>
  <c r="W21" i="25" s="1"/>
  <c r="AQ22" i="23"/>
  <c r="W22" i="25" s="1"/>
  <c r="AQ23" i="23"/>
  <c r="W23" i="25" s="1"/>
  <c r="AQ24" i="23"/>
  <c r="W24" i="25" s="1"/>
  <c r="AQ25" i="23"/>
  <c r="W25" i="25" s="1"/>
  <c r="AQ26" i="23"/>
  <c r="W26" i="25" s="1"/>
  <c r="AQ27" i="23"/>
  <c r="W27" i="25" s="1"/>
  <c r="AQ28" i="23"/>
  <c r="W28" i="25" s="1"/>
  <c r="AQ29" i="23"/>
  <c r="W29" i="25" s="1"/>
  <c r="AQ30" i="23"/>
  <c r="W30" i="25" s="1"/>
  <c r="AQ31" i="23"/>
  <c r="W31" i="25" s="1"/>
  <c r="AQ32" i="23"/>
  <c r="W32" i="25" s="1"/>
  <c r="AQ3" i="23"/>
  <c r="W3" i="25" s="1"/>
  <c r="AM3" i="23"/>
  <c r="R3" i="25" s="1"/>
  <c r="AM4" i="23"/>
  <c r="R4" i="25" s="1"/>
  <c r="AM5" i="23"/>
  <c r="R5" i="25" s="1"/>
  <c r="AM6" i="23"/>
  <c r="R6" i="25" s="1"/>
  <c r="AM7" i="23"/>
  <c r="R7" i="25" s="1"/>
  <c r="AM8" i="23"/>
  <c r="R8" i="25" s="1"/>
  <c r="AM9" i="23"/>
  <c r="R9" i="25" s="1"/>
  <c r="AM10" i="23"/>
  <c r="R10" i="25" s="1"/>
  <c r="AM11" i="23"/>
  <c r="R11" i="25" s="1"/>
  <c r="AM12" i="23"/>
  <c r="R12" i="25" s="1"/>
  <c r="AM13" i="23"/>
  <c r="R13" i="25" s="1"/>
  <c r="AM14" i="23"/>
  <c r="R14" i="25" s="1"/>
  <c r="AM15" i="23"/>
  <c r="R15" i="25" s="1"/>
  <c r="AM16" i="23"/>
  <c r="R16" i="25" s="1"/>
  <c r="AM17" i="23"/>
  <c r="R17" i="25" s="1"/>
  <c r="AM18" i="23"/>
  <c r="R18" i="25" s="1"/>
  <c r="AM19" i="23"/>
  <c r="R19" i="25" s="1"/>
  <c r="AM20" i="23"/>
  <c r="R20" i="25" s="1"/>
  <c r="AM21" i="23"/>
  <c r="R21" i="25" s="1"/>
  <c r="AM22" i="23"/>
  <c r="R22" i="25" s="1"/>
  <c r="AM23" i="23"/>
  <c r="R23" i="25" s="1"/>
  <c r="AM24" i="23"/>
  <c r="R24" i="25" s="1"/>
  <c r="AM25" i="23"/>
  <c r="R25" i="25" s="1"/>
  <c r="AM26" i="23"/>
  <c r="R26" i="25" s="1"/>
  <c r="AM27" i="23"/>
  <c r="R27" i="25" s="1"/>
  <c r="AM28" i="23"/>
  <c r="R28" i="25" s="1"/>
  <c r="AM29" i="23"/>
  <c r="R29" i="25" s="1"/>
  <c r="AM30" i="23"/>
  <c r="R30" i="25" s="1"/>
  <c r="AM31" i="23"/>
  <c r="R31" i="25" s="1"/>
  <c r="AM32" i="23"/>
  <c r="R32" i="25" s="1"/>
  <c r="AM33" i="23"/>
  <c r="R33" i="25" s="1"/>
  <c r="AI4" i="23"/>
  <c r="M4" i="25" s="1"/>
  <c r="AI5" i="23"/>
  <c r="M5" i="25" s="1"/>
  <c r="AI6" i="23"/>
  <c r="M6" i="25" s="1"/>
  <c r="AI7" i="23"/>
  <c r="M7" i="25" s="1"/>
  <c r="AI8" i="23"/>
  <c r="M8" i="25" s="1"/>
  <c r="AI9" i="23"/>
  <c r="M9" i="25" s="1"/>
  <c r="AI10" i="23"/>
  <c r="M10" i="25" s="1"/>
  <c r="AI11" i="23"/>
  <c r="M11" i="25" s="1"/>
  <c r="AI12" i="23"/>
  <c r="M12" i="25" s="1"/>
  <c r="AI13" i="23"/>
  <c r="M13" i="25" s="1"/>
  <c r="AI14" i="23"/>
  <c r="M14" i="25" s="1"/>
  <c r="AI15" i="23"/>
  <c r="M15" i="25" s="1"/>
  <c r="AI16" i="23"/>
  <c r="M16" i="25" s="1"/>
  <c r="AI17" i="23"/>
  <c r="M17" i="25" s="1"/>
  <c r="AI18" i="23"/>
  <c r="M18" i="25" s="1"/>
  <c r="AI19" i="23"/>
  <c r="M19" i="25" s="1"/>
  <c r="AI20" i="23"/>
  <c r="M20" i="25" s="1"/>
  <c r="AI21" i="23"/>
  <c r="M21" i="25" s="1"/>
  <c r="AI22" i="23"/>
  <c r="M22" i="25" s="1"/>
  <c r="AI23" i="23"/>
  <c r="M23" i="25" s="1"/>
  <c r="AI24" i="23"/>
  <c r="M24" i="25" s="1"/>
  <c r="AI25" i="23"/>
  <c r="M25" i="25" s="1"/>
  <c r="AI26" i="23"/>
  <c r="M26" i="25" s="1"/>
  <c r="AI27" i="23"/>
  <c r="M27" i="25" s="1"/>
  <c r="AI28" i="23"/>
  <c r="M28" i="25" s="1"/>
  <c r="AI29" i="23"/>
  <c r="M29" i="25" s="1"/>
  <c r="AI30" i="23"/>
  <c r="M30" i="25" s="1"/>
  <c r="AI31" i="23"/>
  <c r="M31" i="25" s="1"/>
  <c r="AI32" i="23"/>
  <c r="M32" i="25" s="1"/>
  <c r="AI3" i="23"/>
  <c r="M3" i="25" s="1"/>
  <c r="AE4" i="23"/>
  <c r="H4" i="25" s="1"/>
  <c r="AE5" i="23"/>
  <c r="H5" i="25" s="1"/>
  <c r="AE6" i="23"/>
  <c r="H6" i="25" s="1"/>
  <c r="AE7" i="23"/>
  <c r="H7" i="25" s="1"/>
  <c r="AE8" i="23"/>
  <c r="H8" i="25" s="1"/>
  <c r="AE9" i="23"/>
  <c r="H9" i="25" s="1"/>
  <c r="AE10" i="23"/>
  <c r="H10" i="25" s="1"/>
  <c r="AE11" i="23"/>
  <c r="H11" i="25" s="1"/>
  <c r="AE12" i="23"/>
  <c r="H12" i="25" s="1"/>
  <c r="AE13" i="23"/>
  <c r="H13" i="25" s="1"/>
  <c r="AE14" i="23"/>
  <c r="H14" i="25" s="1"/>
  <c r="AE15" i="23"/>
  <c r="H15" i="25" s="1"/>
  <c r="AE16" i="23"/>
  <c r="H16" i="25" s="1"/>
  <c r="AE17" i="23"/>
  <c r="H17" i="25" s="1"/>
  <c r="AE18" i="23"/>
  <c r="H18" i="25" s="1"/>
  <c r="AE19" i="23"/>
  <c r="H19" i="25" s="1"/>
  <c r="AE20" i="23"/>
  <c r="H20" i="25" s="1"/>
  <c r="AE21" i="23"/>
  <c r="H21" i="25" s="1"/>
  <c r="AE22" i="23"/>
  <c r="H22" i="25" s="1"/>
  <c r="AE23" i="23"/>
  <c r="H23" i="25" s="1"/>
  <c r="AE24" i="23"/>
  <c r="H24" i="25" s="1"/>
  <c r="AE25" i="23"/>
  <c r="H25" i="25" s="1"/>
  <c r="AE26" i="23"/>
  <c r="H26" i="25" s="1"/>
  <c r="AE27" i="23"/>
  <c r="H27" i="25" s="1"/>
  <c r="AE28" i="23"/>
  <c r="H28" i="25" s="1"/>
  <c r="AE29" i="23"/>
  <c r="H29" i="25" s="1"/>
  <c r="AE30" i="23"/>
  <c r="H30" i="25" s="1"/>
  <c r="AE31" i="23"/>
  <c r="H31" i="25" s="1"/>
  <c r="AE32" i="23"/>
  <c r="H32" i="25" s="1"/>
  <c r="AE33" i="23"/>
  <c r="H33" i="25" s="1"/>
  <c r="AE3" i="23"/>
  <c r="H3" i="25" s="1"/>
  <c r="AA4" i="23"/>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 i="23"/>
  <c r="W4" i="23"/>
  <c r="W5" i="23"/>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 i="23"/>
  <c r="S4" i="23"/>
  <c r="S5" i="23"/>
  <c r="S6" i="23"/>
  <c r="S7" i="23"/>
  <c r="S8" i="23"/>
  <c r="S9" i="23"/>
  <c r="S10" i="23"/>
  <c r="S11" i="23"/>
  <c r="S12" i="23"/>
  <c r="S13" i="23"/>
  <c r="S14" i="23"/>
  <c r="S15" i="23"/>
  <c r="S16" i="23"/>
  <c r="S17" i="23"/>
  <c r="S18" i="23"/>
  <c r="S19" i="23"/>
  <c r="S20" i="23"/>
  <c r="S21" i="23"/>
  <c r="S22" i="23"/>
  <c r="S23" i="23"/>
  <c r="S24" i="23"/>
  <c r="S25" i="23"/>
  <c r="S26" i="23"/>
  <c r="S27" i="23"/>
  <c r="S28" i="23"/>
  <c r="S29" i="23"/>
  <c r="S30" i="23"/>
  <c r="S31" i="23"/>
  <c r="S32" i="23"/>
  <c r="S33" i="23"/>
  <c r="S3"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 i="23"/>
  <c r="K4" i="23"/>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 i="23"/>
  <c r="G4" i="23"/>
  <c r="G5" i="23"/>
  <c r="G6" i="23"/>
  <c r="G7"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 i="23"/>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 i="23"/>
  <c r="Z39" i="73" l="1"/>
  <c r="Y39" i="73"/>
  <c r="Z38" i="73"/>
  <c r="Y38" i="73"/>
  <c r="Z37" i="73"/>
  <c r="Y37" i="73"/>
  <c r="Z36" i="73"/>
  <c r="Y36" i="73"/>
  <c r="Z35" i="73"/>
  <c r="Y35" i="73"/>
  <c r="Z34" i="73"/>
  <c r="Y34" i="73"/>
  <c r="Z33" i="73"/>
  <c r="Y33" i="73"/>
  <c r="Z32" i="73"/>
  <c r="Y32" i="73"/>
  <c r="Z31" i="73"/>
  <c r="Y31" i="73"/>
  <c r="Z30" i="73"/>
  <c r="Y30" i="73"/>
  <c r="Z29" i="73"/>
  <c r="Y29" i="73"/>
  <c r="Z28" i="73"/>
  <c r="Y28" i="73"/>
  <c r="Z27" i="73"/>
  <c r="Y27" i="73"/>
  <c r="Z26" i="73"/>
  <c r="Y26" i="73"/>
  <c r="Z25" i="73"/>
  <c r="Y25" i="73"/>
  <c r="Z24" i="73"/>
  <c r="Y24" i="73"/>
  <c r="Z23" i="73"/>
  <c r="Y23" i="73"/>
  <c r="Z22" i="73"/>
  <c r="Y22" i="73"/>
  <c r="Z21" i="73"/>
  <c r="Y21" i="73"/>
  <c r="Z20" i="73"/>
  <c r="Y20" i="73"/>
  <c r="Z19" i="73"/>
  <c r="Y19" i="73"/>
  <c r="Z18" i="73"/>
  <c r="Y18" i="73"/>
  <c r="Z17" i="73"/>
  <c r="Z16" i="73"/>
  <c r="Z15" i="73"/>
  <c r="Y15" i="73"/>
  <c r="Z14" i="73"/>
  <c r="Y14" i="73"/>
  <c r="Z13" i="73"/>
  <c r="Y13" i="73"/>
  <c r="Z12" i="73"/>
  <c r="Y12" i="73"/>
  <c r="Y11" i="73"/>
  <c r="Z10" i="73"/>
  <c r="Y10" i="73"/>
  <c r="Y9" i="73"/>
  <c r="Z38" i="72"/>
  <c r="Y38" i="72"/>
  <c r="Z37" i="72"/>
  <c r="Y37" i="72"/>
  <c r="Z36" i="72"/>
  <c r="Y36" i="72"/>
  <c r="Z35" i="72"/>
  <c r="Y35" i="72"/>
  <c r="Z34" i="72"/>
  <c r="Y34" i="72"/>
  <c r="Z33" i="72"/>
  <c r="Y33" i="72"/>
  <c r="Z32" i="72"/>
  <c r="Y32" i="72"/>
  <c r="Z31" i="72"/>
  <c r="Y31" i="72"/>
  <c r="Z30" i="72"/>
  <c r="Y30" i="72"/>
  <c r="Z29" i="72"/>
  <c r="Y29" i="72"/>
  <c r="Z28" i="72"/>
  <c r="Y28" i="72"/>
  <c r="Z27" i="72"/>
  <c r="Y27" i="72"/>
  <c r="Z26" i="72"/>
  <c r="Y26" i="72"/>
  <c r="Z25" i="72"/>
  <c r="Y25" i="72"/>
  <c r="Z24" i="72"/>
  <c r="Y24" i="72"/>
  <c r="Z23" i="72"/>
  <c r="Y23" i="72"/>
  <c r="Z22" i="72"/>
  <c r="Y22" i="72"/>
  <c r="Z21" i="72"/>
  <c r="Z20" i="72"/>
  <c r="Y20" i="72"/>
  <c r="Z19" i="72"/>
  <c r="Z18" i="72"/>
  <c r="Z17" i="72"/>
  <c r="Y17" i="72"/>
  <c r="Z16" i="72"/>
  <c r="Y16" i="72"/>
  <c r="Z15" i="72"/>
  <c r="Y15" i="72"/>
  <c r="Z14" i="72"/>
  <c r="Y14" i="72"/>
  <c r="Z13" i="72"/>
  <c r="Y13" i="72"/>
  <c r="Z12" i="72"/>
  <c r="Y12" i="72"/>
  <c r="Z11" i="72"/>
  <c r="Y11" i="72"/>
  <c r="Z10" i="72"/>
  <c r="Y10" i="72"/>
  <c r="Z9" i="72"/>
  <c r="Y9" i="72"/>
  <c r="Z39" i="71"/>
  <c r="Y39" i="71"/>
  <c r="Z38" i="71"/>
  <c r="Y38" i="71"/>
  <c r="Z37" i="71"/>
  <c r="Y37" i="71"/>
  <c r="Z36" i="71"/>
  <c r="Y36" i="71"/>
  <c r="Z35" i="71"/>
  <c r="Y35" i="71"/>
  <c r="Z34" i="71"/>
  <c r="Y34" i="71"/>
  <c r="Z33" i="71"/>
  <c r="Y33" i="71"/>
  <c r="Z32" i="71"/>
  <c r="Y32" i="71"/>
  <c r="Z31" i="71"/>
  <c r="Y31" i="71"/>
  <c r="Z30" i="71"/>
  <c r="Y30" i="71"/>
  <c r="Z29" i="71"/>
  <c r="Y29" i="71"/>
  <c r="Z28" i="71"/>
  <c r="Y28" i="71"/>
  <c r="Z27" i="71"/>
  <c r="Y27" i="71"/>
  <c r="Z26" i="71"/>
  <c r="Y26" i="71"/>
  <c r="Z25" i="71"/>
  <c r="Z24" i="71"/>
  <c r="Y24" i="71"/>
  <c r="Z23" i="71"/>
  <c r="Y23" i="71"/>
  <c r="Z22" i="71"/>
  <c r="Z21" i="71"/>
  <c r="Z20" i="71"/>
  <c r="Y20" i="71"/>
  <c r="Z19" i="71"/>
  <c r="Y19" i="71"/>
  <c r="Z18" i="71"/>
  <c r="Y18" i="71"/>
  <c r="Z17" i="71"/>
  <c r="Y17" i="71"/>
  <c r="Z16" i="71"/>
  <c r="Y16" i="71"/>
  <c r="Z15" i="71"/>
  <c r="Y15" i="71"/>
  <c r="Z14" i="71"/>
  <c r="Y14" i="71"/>
  <c r="Z13" i="71"/>
  <c r="Y13" i="71"/>
  <c r="Z12" i="71"/>
  <c r="Y12" i="71"/>
  <c r="Z11" i="71"/>
  <c r="Y11" i="71"/>
  <c r="Z10" i="71"/>
  <c r="Y10" i="71"/>
  <c r="Y9" i="71"/>
  <c r="Z38" i="70"/>
  <c r="Y38" i="70"/>
  <c r="Z37" i="70"/>
  <c r="Y37" i="70"/>
  <c r="Z36" i="70"/>
  <c r="Y36" i="70"/>
  <c r="Z35" i="70"/>
  <c r="Y35" i="70"/>
  <c r="Z34" i="70"/>
  <c r="Y34" i="70"/>
  <c r="Z33" i="70"/>
  <c r="Y33" i="70"/>
  <c r="Z32" i="70"/>
  <c r="Y32" i="70"/>
  <c r="Z31" i="70"/>
  <c r="Y31" i="70"/>
  <c r="Z30" i="70"/>
  <c r="Y30" i="70"/>
  <c r="Z29" i="70"/>
  <c r="Y29" i="70"/>
  <c r="Z28" i="70"/>
  <c r="Y28" i="70"/>
  <c r="Z27" i="70"/>
  <c r="Z26" i="70"/>
  <c r="Y26" i="70"/>
  <c r="Z25" i="70"/>
  <c r="Y25" i="70"/>
  <c r="Z24" i="70"/>
  <c r="Z23" i="70"/>
  <c r="Z22" i="70"/>
  <c r="Y22" i="70"/>
  <c r="Z21" i="70"/>
  <c r="Y21" i="70"/>
  <c r="Z20" i="70"/>
  <c r="Y20" i="70"/>
  <c r="Z19" i="70"/>
  <c r="Y19" i="70"/>
  <c r="Z18" i="70"/>
  <c r="Y18" i="70"/>
  <c r="Z17" i="70"/>
  <c r="Y17" i="70"/>
  <c r="Z16" i="70"/>
  <c r="Y16" i="70"/>
  <c r="Z15" i="70"/>
  <c r="Y15" i="70"/>
  <c r="Z14" i="70"/>
  <c r="Y14" i="70"/>
  <c r="Z13" i="70"/>
  <c r="Y13" i="70"/>
  <c r="Z12" i="70"/>
  <c r="Y12" i="70"/>
  <c r="Z11" i="70"/>
  <c r="Y11" i="70"/>
  <c r="Z10" i="70"/>
  <c r="Y10" i="70"/>
  <c r="Z9" i="70"/>
  <c r="Y9" i="70"/>
  <c r="Z35" i="68"/>
  <c r="Y35" i="68"/>
  <c r="Z34" i="68"/>
  <c r="Y34" i="68"/>
  <c r="Z33" i="68"/>
  <c r="Y33" i="68"/>
  <c r="Z32" i="68"/>
  <c r="Y32" i="68"/>
  <c r="Z31" i="68"/>
  <c r="Y31" i="68"/>
  <c r="Z30" i="68"/>
  <c r="Y30" i="68"/>
  <c r="Z29" i="68"/>
  <c r="Y29" i="68"/>
  <c r="Z28" i="68"/>
  <c r="Y28" i="68"/>
  <c r="Z27" i="68"/>
  <c r="Y27" i="68"/>
  <c r="Z26" i="68"/>
  <c r="Y26" i="68"/>
  <c r="Z25" i="68"/>
  <c r="Y25" i="68"/>
  <c r="Z24" i="68"/>
  <c r="Y24" i="68"/>
  <c r="Z23" i="68"/>
  <c r="Y23" i="68"/>
  <c r="Z22" i="68"/>
  <c r="Y22" i="68"/>
  <c r="Z21" i="68"/>
  <c r="Y21" i="68"/>
  <c r="Z20" i="68"/>
  <c r="Y20" i="68"/>
  <c r="Z19" i="68"/>
  <c r="Y19" i="68"/>
  <c r="Z18" i="68"/>
  <c r="Y18" i="68"/>
  <c r="Z17" i="68"/>
  <c r="Y17" i="68"/>
  <c r="Z16" i="68"/>
  <c r="Z15" i="68"/>
  <c r="Y15" i="68"/>
  <c r="Z14" i="68"/>
  <c r="Y14" i="68"/>
  <c r="Z13" i="68"/>
  <c r="Z12" i="68"/>
  <c r="Z11" i="68"/>
  <c r="Y11" i="68"/>
  <c r="Z10" i="68"/>
  <c r="Y10" i="68"/>
  <c r="Z9" i="68"/>
  <c r="Y9" i="68"/>
  <c r="Z39" i="69"/>
  <c r="Y39" i="69"/>
  <c r="Z38" i="69"/>
  <c r="Y38" i="69"/>
  <c r="Z37" i="69"/>
  <c r="Y37" i="69"/>
  <c r="Z36" i="69"/>
  <c r="Y36" i="69"/>
  <c r="Z35" i="69"/>
  <c r="Y35" i="69"/>
  <c r="Z34" i="69"/>
  <c r="Y34" i="69"/>
  <c r="Z33" i="69"/>
  <c r="Y33" i="69"/>
  <c r="Z32" i="69"/>
  <c r="Y32" i="69"/>
  <c r="Z31" i="69"/>
  <c r="Y31" i="69"/>
  <c r="Z30" i="69"/>
  <c r="Y30" i="69"/>
  <c r="Z29" i="69"/>
  <c r="Y29" i="69"/>
  <c r="Z28" i="69"/>
  <c r="Y28" i="69"/>
  <c r="Z27" i="69"/>
  <c r="Y27" i="69"/>
  <c r="Z26" i="69"/>
  <c r="Y26" i="69"/>
  <c r="Z25" i="69"/>
  <c r="Y25" i="69"/>
  <c r="Z24" i="69"/>
  <c r="Y24" i="69"/>
  <c r="Z23" i="69"/>
  <c r="Y23" i="69"/>
  <c r="Z22" i="69"/>
  <c r="Y22" i="69"/>
  <c r="Z21" i="69"/>
  <c r="Y21" i="69"/>
  <c r="Z20" i="69"/>
  <c r="Y20" i="69"/>
  <c r="Z19" i="69"/>
  <c r="Y19" i="69"/>
  <c r="Z18" i="69"/>
  <c r="Y18" i="69"/>
  <c r="Z17" i="69"/>
  <c r="Y17" i="69"/>
  <c r="Z16" i="69"/>
  <c r="Z15" i="69"/>
  <c r="Y15" i="69"/>
  <c r="Z14" i="69"/>
  <c r="Y14" i="69"/>
  <c r="Z13" i="69"/>
  <c r="Z12" i="69"/>
  <c r="Z11" i="69"/>
  <c r="Y11" i="69"/>
  <c r="Z10" i="69"/>
  <c r="Y10" i="69"/>
  <c r="Z9" i="69"/>
  <c r="Y9" i="69"/>
  <c r="Y9" i="67"/>
  <c r="Z9" i="67"/>
  <c r="Y10" i="67"/>
  <c r="Z10" i="67"/>
  <c r="Z11" i="67"/>
  <c r="Y12" i="67"/>
  <c r="Z12" i="67"/>
  <c r="Y13" i="67"/>
  <c r="Z13" i="67"/>
  <c r="Y14" i="67"/>
  <c r="Z14" i="67"/>
  <c r="Y15" i="67"/>
  <c r="Z15" i="67"/>
  <c r="Y16" i="67"/>
  <c r="Z16" i="67"/>
  <c r="Y17" i="67"/>
  <c r="Z17" i="67"/>
  <c r="Y18" i="67"/>
  <c r="Z18" i="67"/>
  <c r="Y19" i="67"/>
  <c r="Z19" i="67"/>
  <c r="Y20" i="67"/>
  <c r="Z20" i="67"/>
  <c r="Y21" i="67"/>
  <c r="Z21" i="67"/>
  <c r="Z22" i="67"/>
  <c r="Z23" i="67"/>
  <c r="Y24" i="67"/>
  <c r="Z24" i="67"/>
  <c r="Y25" i="67"/>
  <c r="Z25" i="67"/>
  <c r="Z26" i="67"/>
  <c r="Y27" i="67"/>
  <c r="Z27" i="67"/>
  <c r="Y28" i="67"/>
  <c r="Z28" i="67"/>
  <c r="Y29" i="67"/>
  <c r="Z29" i="67"/>
  <c r="Y30" i="67"/>
  <c r="Z30" i="67"/>
  <c r="Y31" i="67"/>
  <c r="Z31" i="67"/>
  <c r="Y32" i="67"/>
  <c r="Z32" i="67"/>
  <c r="Y33" i="67"/>
  <c r="Z33" i="67"/>
  <c r="Y34" i="67"/>
  <c r="Z34" i="67"/>
  <c r="Y35" i="67"/>
  <c r="Z35" i="67"/>
  <c r="Y36" i="67"/>
  <c r="Z36" i="67"/>
  <c r="Y37" i="67"/>
  <c r="Z37" i="67"/>
  <c r="Y38" i="67"/>
  <c r="Z38" i="67"/>
  <c r="Y39" i="67"/>
  <c r="Z39" i="67"/>
  <c r="Z39" i="66"/>
  <c r="Y39" i="66"/>
  <c r="Z38" i="66"/>
  <c r="Y38" i="66"/>
  <c r="Z37" i="66"/>
  <c r="Y37" i="66"/>
  <c r="Z36" i="66"/>
  <c r="Y36" i="66"/>
  <c r="Z35" i="66"/>
  <c r="Y35" i="66"/>
  <c r="Z34" i="66"/>
  <c r="Y34" i="66"/>
  <c r="Z33" i="66"/>
  <c r="Y33" i="66"/>
  <c r="Z32" i="66"/>
  <c r="Y32" i="66"/>
  <c r="Z31" i="66"/>
  <c r="Y31" i="66"/>
  <c r="Z30" i="66"/>
  <c r="Y30" i="66"/>
  <c r="Z29" i="66"/>
  <c r="Z28" i="66"/>
  <c r="Y28" i="66"/>
  <c r="Z27" i="66"/>
  <c r="Y27" i="66"/>
  <c r="Z26" i="66"/>
  <c r="Y26" i="66"/>
  <c r="Z25" i="66"/>
  <c r="Y25" i="66"/>
  <c r="Z24" i="66"/>
  <c r="Y24" i="66"/>
  <c r="Z23" i="66"/>
  <c r="Y23" i="66"/>
  <c r="Z22" i="66"/>
  <c r="Z21" i="66"/>
  <c r="Y21" i="66"/>
  <c r="Z20" i="66"/>
  <c r="Y20" i="66"/>
  <c r="Z19" i="66"/>
  <c r="Z18" i="66"/>
  <c r="Z17" i="66"/>
  <c r="Y17" i="66"/>
  <c r="Z16" i="66"/>
  <c r="Y16" i="66"/>
  <c r="Z15" i="66"/>
  <c r="Y15" i="66"/>
  <c r="Z14" i="66"/>
  <c r="Y14" i="66"/>
  <c r="Z13" i="66"/>
  <c r="Y13" i="66"/>
  <c r="Z12" i="66"/>
  <c r="Y12" i="66"/>
  <c r="Z11" i="66"/>
  <c r="Z10" i="66"/>
  <c r="Y10" i="66"/>
  <c r="Z9" i="66"/>
  <c r="Z38" i="65"/>
  <c r="Y38" i="65"/>
  <c r="Z37" i="65"/>
  <c r="Y37" i="65"/>
  <c r="Z36" i="65"/>
  <c r="Y36" i="65"/>
  <c r="Z35" i="65"/>
  <c r="Y35" i="65"/>
  <c r="Z34" i="65"/>
  <c r="Y34" i="65"/>
  <c r="Z33" i="65"/>
  <c r="Y33" i="65"/>
  <c r="Z32" i="65"/>
  <c r="Y32" i="65"/>
  <c r="Z31" i="65"/>
  <c r="Y31" i="65"/>
  <c r="Z30" i="65"/>
  <c r="Y30" i="65"/>
  <c r="Z29" i="65"/>
  <c r="Y29" i="65"/>
  <c r="Z28" i="65"/>
  <c r="Y28" i="65"/>
  <c r="Z27" i="65"/>
  <c r="Y27" i="65"/>
  <c r="Z26" i="65"/>
  <c r="Y26" i="65"/>
  <c r="Z25" i="65"/>
  <c r="Y25" i="65"/>
  <c r="Z24" i="65"/>
  <c r="Z23" i="65"/>
  <c r="Y23" i="65"/>
  <c r="Z22" i="65"/>
  <c r="Y22" i="65"/>
  <c r="Z21" i="65"/>
  <c r="Z20" i="65"/>
  <c r="Z19" i="65"/>
  <c r="Y19" i="65"/>
  <c r="Z18" i="65"/>
  <c r="Y18" i="65"/>
  <c r="Z17" i="65"/>
  <c r="Y17" i="65"/>
  <c r="Z16" i="65"/>
  <c r="Y16" i="65"/>
  <c r="Z15" i="65"/>
  <c r="Y15" i="65"/>
  <c r="Z14" i="65"/>
  <c r="Y14" i="65"/>
  <c r="Z13" i="65"/>
  <c r="Y13" i="65"/>
  <c r="Z12" i="65"/>
  <c r="Y12" i="65"/>
  <c r="Z11" i="65"/>
  <c r="Y11" i="65"/>
  <c r="Z10" i="65"/>
  <c r="Y10" i="65"/>
  <c r="Z9" i="65"/>
  <c r="Y9" i="65"/>
  <c r="Z39" i="64"/>
  <c r="Y39" i="64"/>
  <c r="Z38" i="64"/>
  <c r="Y38" i="64"/>
  <c r="Z37" i="64"/>
  <c r="Y37" i="64"/>
  <c r="Z36" i="64"/>
  <c r="Y36" i="64"/>
  <c r="Z35" i="64"/>
  <c r="Y35" i="64"/>
  <c r="Z34" i="64"/>
  <c r="Y34" i="64"/>
  <c r="Z33" i="64"/>
  <c r="Y33" i="64"/>
  <c r="Z32" i="64"/>
  <c r="Y32" i="64"/>
  <c r="Z31" i="64"/>
  <c r="Y31" i="64"/>
  <c r="Z30" i="64"/>
  <c r="Y30" i="64"/>
  <c r="Z29" i="64"/>
  <c r="Y29" i="64"/>
  <c r="Z28" i="64"/>
  <c r="Y28" i="64"/>
  <c r="Z27" i="64"/>
  <c r="Y27" i="64"/>
  <c r="Z26" i="64"/>
  <c r="Y26" i="64"/>
  <c r="Z25" i="64"/>
  <c r="Y25" i="64"/>
  <c r="Z24" i="64"/>
  <c r="Y24" i="64"/>
  <c r="Z23" i="64"/>
  <c r="Y23" i="64"/>
  <c r="Z22" i="64"/>
  <c r="Y22" i="64"/>
  <c r="Z21" i="64"/>
  <c r="Y21" i="64"/>
  <c r="Z20" i="64"/>
  <c r="Z19" i="64"/>
  <c r="Y19" i="64"/>
  <c r="Z18" i="64"/>
  <c r="Y18" i="64"/>
  <c r="Z17" i="64"/>
  <c r="Z16" i="64"/>
  <c r="Z15" i="64"/>
  <c r="Y15" i="64"/>
  <c r="Z14" i="64"/>
  <c r="Y14" i="64"/>
  <c r="Z13" i="64"/>
  <c r="Y13" i="64"/>
  <c r="Z12" i="64"/>
  <c r="Y12" i="64"/>
  <c r="Z11" i="64"/>
  <c r="Z10" i="64"/>
  <c r="Y10" i="64"/>
  <c r="Z9" i="64"/>
  <c r="Y9" i="64"/>
  <c r="Z38" i="68" l="1"/>
  <c r="Z40" i="69"/>
  <c r="Z39" i="72"/>
  <c r="Z39" i="70"/>
  <c r="Z40" i="67"/>
  <c r="Z40" i="66"/>
  <c r="Z39" i="65"/>
  <c r="Z40" i="64"/>
  <c r="F16" i="50" l="1"/>
  <c r="F14" i="50"/>
  <c r="F12" i="50"/>
  <c r="F11" i="50"/>
  <c r="F10" i="50"/>
  <c r="F9" i="50"/>
  <c r="T67" i="41"/>
  <c r="Z10" i="63"/>
  <c r="Z11" i="63"/>
  <c r="Z12" i="63"/>
  <c r="Z13" i="63"/>
  <c r="Z14" i="63"/>
  <c r="Z15" i="63"/>
  <c r="Z16" i="63"/>
  <c r="Z17" i="63"/>
  <c r="Z18" i="63"/>
  <c r="Z19" i="63"/>
  <c r="Z20" i="63"/>
  <c r="Z21" i="63"/>
  <c r="Z22" i="63"/>
  <c r="Z23" i="63"/>
  <c r="Z24" i="63"/>
  <c r="Z25" i="63"/>
  <c r="Z26" i="63"/>
  <c r="Z27" i="63"/>
  <c r="Z28" i="63"/>
  <c r="Z29" i="63"/>
  <c r="Z30" i="63"/>
  <c r="Z31" i="63"/>
  <c r="Z32" i="63"/>
  <c r="Z33" i="63"/>
  <c r="Z34" i="63"/>
  <c r="Z35" i="63"/>
  <c r="Z36" i="63"/>
  <c r="Z37" i="63"/>
  <c r="Z38" i="63"/>
  <c r="Z9" i="63"/>
  <c r="F41" i="50"/>
  <c r="F50" i="50" s="1"/>
  <c r="F32" i="50"/>
  <c r="G32" i="50"/>
  <c r="G41" i="50" s="1"/>
  <c r="G50" i="50" s="1"/>
  <c r="H32" i="50"/>
  <c r="H41" i="50" s="1"/>
  <c r="H50" i="50" s="1"/>
  <c r="G23" i="50"/>
  <c r="H23" i="50"/>
  <c r="F23" i="50"/>
  <c r="D23" i="50"/>
  <c r="D32" i="50" s="1"/>
  <c r="D41" i="50" s="1"/>
  <c r="D50" i="50" s="1"/>
  <c r="E23" i="50"/>
  <c r="E32" i="50" s="1"/>
  <c r="E41" i="50" s="1"/>
  <c r="E50" i="50" s="1"/>
  <c r="C23" i="50"/>
  <c r="C32" i="50" s="1"/>
  <c r="C41" i="50" s="1"/>
  <c r="C50" i="50" s="1"/>
  <c r="F7" i="50" l="1"/>
  <c r="Z39" i="63"/>
  <c r="Q66" i="41" l="1"/>
  <c r="S68" i="41" s="1"/>
  <c r="O66" i="41"/>
  <c r="F2" i="46"/>
  <c r="D2" i="46"/>
  <c r="A47" i="68"/>
  <c r="A48" i="72"/>
  <c r="A48" i="70"/>
  <c r="A48" i="65"/>
  <c r="A49" i="73"/>
  <c r="A49" i="71"/>
  <c r="A49" i="69"/>
  <c r="A49" i="67"/>
  <c r="A49" i="66"/>
  <c r="A50" i="41"/>
  <c r="A48" i="63"/>
  <c r="I91" i="43"/>
  <c r="M70" i="41" l="1"/>
  <c r="N70" i="41"/>
  <c r="S67" i="41"/>
  <c r="M68" i="41"/>
  <c r="N68" i="41"/>
  <c r="P66" i="41"/>
  <c r="F15" i="50"/>
  <c r="F13" i="50"/>
  <c r="F8" i="50"/>
  <c r="D22" i="74"/>
  <c r="V45" i="41" l="1"/>
  <c r="V47" i="41" l="1"/>
  <c r="V54" i="41" s="1"/>
  <c r="V44" i="63" s="1"/>
  <c r="B2" i="50"/>
  <c r="M43" i="41"/>
  <c r="V45" i="63" l="1"/>
  <c r="V52" i="63" s="1"/>
  <c r="V45" i="64" s="1"/>
  <c r="V46" i="64" s="1"/>
  <c r="K52" i="44"/>
  <c r="I52" i="44"/>
  <c r="B53" i="44"/>
  <c r="B54" i="44"/>
  <c r="B55" i="44"/>
  <c r="B56" i="44"/>
  <c r="B52" i="44"/>
  <c r="K46" i="43"/>
  <c r="J25" i="1"/>
  <c r="V46" i="43"/>
  <c r="U46" i="43"/>
  <c r="T46" i="43"/>
  <c r="S46" i="43"/>
  <c r="R46" i="43"/>
  <c r="Q46" i="43"/>
  <c r="P46" i="43"/>
  <c r="O46" i="43"/>
  <c r="N46" i="43"/>
  <c r="M46" i="43"/>
  <c r="L46" i="43"/>
  <c r="A5" i="73"/>
  <c r="M42" i="73" s="1"/>
  <c r="A5" i="72"/>
  <c r="M41" i="72" s="1"/>
  <c r="A5" i="71"/>
  <c r="M42" i="71" s="1"/>
  <c r="A5" i="70"/>
  <c r="M41" i="70" s="1"/>
  <c r="A5" i="69"/>
  <c r="M42" i="69" s="1"/>
  <c r="A5" i="68"/>
  <c r="M40" i="68" s="1"/>
  <c r="A5" i="67"/>
  <c r="M42" i="67" s="1"/>
  <c r="A5" i="66"/>
  <c r="M42" i="66" s="1"/>
  <c r="A5" i="65"/>
  <c r="M41" i="65" s="1"/>
  <c r="A5" i="64"/>
  <c r="M42" i="64" s="1"/>
  <c r="M41" i="63"/>
  <c r="F51" i="1"/>
  <c r="B9" i="1"/>
  <c r="G10" i="62"/>
  <c r="G26" i="50"/>
  <c r="G24" i="50"/>
  <c r="V91" i="43" l="1"/>
  <c r="I49" i="73" s="1"/>
  <c r="N91" i="43"/>
  <c r="I48" i="65" s="1"/>
  <c r="O91" i="43"/>
  <c r="I49" i="66" s="1"/>
  <c r="P91" i="43"/>
  <c r="I49" i="67" s="1"/>
  <c r="Q91" i="43"/>
  <c r="I47" i="68" s="1"/>
  <c r="K97" i="44"/>
  <c r="R91" i="43"/>
  <c r="I49" i="69" s="1"/>
  <c r="K91" i="43"/>
  <c r="I50" i="41" s="1"/>
  <c r="S91" i="43"/>
  <c r="I48" i="70" s="1"/>
  <c r="T91" i="43"/>
  <c r="I49" i="71" s="1"/>
  <c r="L91" i="43"/>
  <c r="I48" i="63" s="1"/>
  <c r="M91" i="43"/>
  <c r="I49" i="64" s="1"/>
  <c r="U91" i="43"/>
  <c r="I48" i="72" s="1"/>
  <c r="T70" i="68" l="1"/>
  <c r="V41" i="68" s="1"/>
  <c r="A6" i="73"/>
  <c r="A6" i="72"/>
  <c r="A6" i="70"/>
  <c r="A6" i="69"/>
  <c r="A6" i="68"/>
  <c r="A6" i="71"/>
  <c r="D64" i="73"/>
  <c r="D76" i="73"/>
  <c r="D74" i="73"/>
  <c r="D73" i="73"/>
  <c r="H44" i="73" s="1"/>
  <c r="D72" i="73"/>
  <c r="H45" i="73" s="1"/>
  <c r="D71" i="73"/>
  <c r="D70" i="73"/>
  <c r="D69" i="73"/>
  <c r="D68" i="73"/>
  <c r="D67" i="73"/>
  <c r="D66" i="73"/>
  <c r="D65" i="73"/>
  <c r="D64" i="72"/>
  <c r="D63" i="72"/>
  <c r="D75" i="72"/>
  <c r="D73" i="72"/>
  <c r="D72" i="72"/>
  <c r="H43" i="72" s="1"/>
  <c r="D71" i="72"/>
  <c r="H44" i="72" s="1"/>
  <c r="D70" i="72"/>
  <c r="D69" i="72"/>
  <c r="D68" i="72"/>
  <c r="D67" i="72"/>
  <c r="D66" i="72"/>
  <c r="D65" i="72"/>
  <c r="D64" i="71"/>
  <c r="D76" i="71"/>
  <c r="D74" i="71"/>
  <c r="D73" i="71"/>
  <c r="H44" i="71" s="1"/>
  <c r="D72" i="71"/>
  <c r="H45" i="71" s="1"/>
  <c r="D71" i="71"/>
  <c r="D70" i="71"/>
  <c r="D69" i="71"/>
  <c r="D68" i="71"/>
  <c r="D67" i="71"/>
  <c r="D66" i="71"/>
  <c r="D65" i="71"/>
  <c r="D63" i="70"/>
  <c r="D75" i="70"/>
  <c r="D73" i="70"/>
  <c r="D72" i="70"/>
  <c r="H43" i="70" s="1"/>
  <c r="D71" i="70"/>
  <c r="H44" i="70" s="1"/>
  <c r="D70" i="70"/>
  <c r="D69" i="70"/>
  <c r="D68" i="70"/>
  <c r="D67" i="70"/>
  <c r="D66" i="70"/>
  <c r="D65" i="70"/>
  <c r="D64" i="70"/>
  <c r="D64" i="69"/>
  <c r="D76" i="69"/>
  <c r="D74" i="69"/>
  <c r="D73" i="69"/>
  <c r="H44" i="69" s="1"/>
  <c r="D72" i="69"/>
  <c r="H45" i="69" s="1"/>
  <c r="D71" i="69"/>
  <c r="D70" i="69"/>
  <c r="D69" i="69"/>
  <c r="D68" i="69"/>
  <c r="D67" i="69"/>
  <c r="D66" i="69"/>
  <c r="D65" i="69"/>
  <c r="D72" i="68"/>
  <c r="D71" i="68"/>
  <c r="H42" i="68" s="1"/>
  <c r="D70" i="68"/>
  <c r="H43" i="68" s="1"/>
  <c r="D69" i="68"/>
  <c r="D68" i="68"/>
  <c r="D67" i="68"/>
  <c r="D66" i="68"/>
  <c r="D65" i="68"/>
  <c r="D64" i="68"/>
  <c r="D64" i="67"/>
  <c r="D76" i="67"/>
  <c r="D74" i="67"/>
  <c r="D73" i="67"/>
  <c r="H44" i="67" s="1"/>
  <c r="D72" i="67"/>
  <c r="H45" i="67" s="1"/>
  <c r="D71" i="67"/>
  <c r="D70" i="67"/>
  <c r="D69" i="67"/>
  <c r="D68" i="67"/>
  <c r="D67" i="67"/>
  <c r="D66" i="67"/>
  <c r="D65" i="67"/>
  <c r="D65" i="66"/>
  <c r="D64" i="66"/>
  <c r="D76" i="66"/>
  <c r="D74" i="66"/>
  <c r="D73" i="66"/>
  <c r="H44" i="66" s="1"/>
  <c r="D72" i="66"/>
  <c r="H45" i="66" s="1"/>
  <c r="D71" i="66"/>
  <c r="D70" i="66"/>
  <c r="D69" i="66"/>
  <c r="D68" i="66"/>
  <c r="D67" i="66"/>
  <c r="D66" i="66"/>
  <c r="D63" i="65"/>
  <c r="D75" i="65"/>
  <c r="D73" i="65"/>
  <c r="D72" i="65"/>
  <c r="H43" i="65" s="1"/>
  <c r="D71" i="65"/>
  <c r="H44" i="65" s="1"/>
  <c r="D70" i="65"/>
  <c r="D69" i="65"/>
  <c r="D68" i="65"/>
  <c r="D67" i="65"/>
  <c r="D66" i="65"/>
  <c r="D65" i="65"/>
  <c r="D64" i="65"/>
  <c r="D64" i="64"/>
  <c r="D76" i="64"/>
  <c r="D74" i="64"/>
  <c r="D73" i="64"/>
  <c r="H44" i="64" s="1"/>
  <c r="D72" i="64"/>
  <c r="H45" i="64" s="1"/>
  <c r="D71" i="64"/>
  <c r="D70" i="64"/>
  <c r="D69" i="64"/>
  <c r="D68" i="64"/>
  <c r="D67" i="64"/>
  <c r="D66" i="64"/>
  <c r="D65" i="64"/>
  <c r="D63" i="63"/>
  <c r="D75" i="63"/>
  <c r="D73" i="63"/>
  <c r="D72" i="63"/>
  <c r="H43" i="63" s="1"/>
  <c r="D71" i="63"/>
  <c r="H44" i="63" s="1"/>
  <c r="D70" i="63"/>
  <c r="D69" i="63"/>
  <c r="D68" i="63"/>
  <c r="D67" i="63"/>
  <c r="D66" i="63"/>
  <c r="D65" i="63"/>
  <c r="D64" i="63"/>
  <c r="AO88" i="73"/>
  <c r="BL88" i="73" s="1"/>
  <c r="AO87" i="73"/>
  <c r="BL87" i="73" s="1"/>
  <c r="AO86" i="73"/>
  <c r="BL86" i="73" s="1"/>
  <c r="AO85" i="73"/>
  <c r="BL85" i="73" s="1"/>
  <c r="Y75" i="73"/>
  <c r="A51" i="73"/>
  <c r="A47" i="73"/>
  <c r="A46" i="73"/>
  <c r="A45" i="73"/>
  <c r="A44" i="73"/>
  <c r="A42" i="73"/>
  <c r="R40" i="73"/>
  <c r="T72" i="73" s="1"/>
  <c r="V43" i="73" s="1"/>
  <c r="DF39" i="73"/>
  <c r="DE39" i="73"/>
  <c r="DD39" i="73"/>
  <c r="DC39" i="73"/>
  <c r="DB39" i="73"/>
  <c r="DA39" i="73"/>
  <c r="CZ39" i="73"/>
  <c r="CY39" i="73"/>
  <c r="CC39" i="73"/>
  <c r="CB39" i="73"/>
  <c r="BF39" i="73"/>
  <c r="BE39" i="73"/>
  <c r="BD39" i="73"/>
  <c r="BC39" i="73"/>
  <c r="AE39" i="73"/>
  <c r="AD39" i="73"/>
  <c r="AC39" i="73"/>
  <c r="AB39" i="73"/>
  <c r="AA39" i="73"/>
  <c r="DF38" i="73"/>
  <c r="DE38" i="73"/>
  <c r="DD38" i="73"/>
  <c r="DC38" i="73"/>
  <c r="DB38" i="73"/>
  <c r="DA38" i="73"/>
  <c r="CZ38" i="73"/>
  <c r="CY38" i="73"/>
  <c r="CC38" i="73"/>
  <c r="CB38" i="73"/>
  <c r="BF38" i="73"/>
  <c r="BE38" i="73"/>
  <c r="BD38" i="73"/>
  <c r="BC38" i="73"/>
  <c r="AE38" i="73"/>
  <c r="AD38" i="73"/>
  <c r="AC38" i="73"/>
  <c r="AB38" i="73"/>
  <c r="AA38" i="73"/>
  <c r="DF37" i="73"/>
  <c r="DE37" i="73"/>
  <c r="DD37" i="73"/>
  <c r="DC37" i="73"/>
  <c r="DB37" i="73"/>
  <c r="DA37" i="73"/>
  <c r="CZ37" i="73"/>
  <c r="CY37" i="73"/>
  <c r="CC37" i="73"/>
  <c r="CB37" i="73"/>
  <c r="BF37" i="73"/>
  <c r="BE37" i="73"/>
  <c r="BD37" i="73"/>
  <c r="BC37" i="73"/>
  <c r="AE37" i="73"/>
  <c r="AD37" i="73"/>
  <c r="AC37" i="73"/>
  <c r="AB37" i="73"/>
  <c r="AA37" i="73"/>
  <c r="DF36" i="73"/>
  <c r="DE36" i="73"/>
  <c r="DD36" i="73"/>
  <c r="DC36" i="73"/>
  <c r="DB36" i="73"/>
  <c r="DA36" i="73"/>
  <c r="CZ36" i="73"/>
  <c r="CY36" i="73"/>
  <c r="CC36" i="73"/>
  <c r="CB36" i="73"/>
  <c r="BF36" i="73"/>
  <c r="BE36" i="73"/>
  <c r="BD36" i="73"/>
  <c r="BC36" i="73"/>
  <c r="AE36" i="73"/>
  <c r="AD36" i="73"/>
  <c r="AC36" i="73"/>
  <c r="AB36" i="73"/>
  <c r="AA36" i="73"/>
  <c r="DF35" i="73"/>
  <c r="DE35" i="73"/>
  <c r="DD35" i="73"/>
  <c r="DC35" i="73"/>
  <c r="DB35" i="73"/>
  <c r="DA35" i="73"/>
  <c r="CZ35" i="73"/>
  <c r="CY35" i="73"/>
  <c r="CC35" i="73"/>
  <c r="CB35" i="73"/>
  <c r="BF35" i="73"/>
  <c r="BE35" i="73"/>
  <c r="BD35" i="73"/>
  <c r="BC35" i="73"/>
  <c r="AE35" i="73"/>
  <c r="AD35" i="73"/>
  <c r="AC35" i="73"/>
  <c r="AB35" i="73"/>
  <c r="AA35" i="73"/>
  <c r="DF34" i="73"/>
  <c r="DE34" i="73"/>
  <c r="DD34" i="73"/>
  <c r="DC34" i="73"/>
  <c r="DB34" i="73"/>
  <c r="DA34" i="73"/>
  <c r="CZ34" i="73"/>
  <c r="CY34" i="73"/>
  <c r="CC34" i="73"/>
  <c r="CB34" i="73"/>
  <c r="BF34" i="73"/>
  <c r="BE34" i="73"/>
  <c r="BD34" i="73"/>
  <c r="BC34" i="73"/>
  <c r="AE34" i="73"/>
  <c r="AD34" i="73"/>
  <c r="AC34" i="73"/>
  <c r="AB34" i="73"/>
  <c r="AA34" i="73"/>
  <c r="DF33" i="73"/>
  <c r="DE33" i="73"/>
  <c r="DD33" i="73"/>
  <c r="DC33" i="73"/>
  <c r="DB33" i="73"/>
  <c r="DA33" i="73"/>
  <c r="CZ33" i="73"/>
  <c r="CY33" i="73"/>
  <c r="CC33" i="73"/>
  <c r="CB33" i="73"/>
  <c r="BF33" i="73"/>
  <c r="BE33" i="73"/>
  <c r="BD33" i="73"/>
  <c r="BC33" i="73"/>
  <c r="AE33" i="73"/>
  <c r="AD33" i="73"/>
  <c r="AC33" i="73"/>
  <c r="AB33" i="73"/>
  <c r="AA33" i="73"/>
  <c r="DF32" i="73"/>
  <c r="DE32" i="73"/>
  <c r="DD32" i="73"/>
  <c r="DC32" i="73"/>
  <c r="DB32" i="73"/>
  <c r="DA32" i="73"/>
  <c r="CZ32" i="73"/>
  <c r="CY32" i="73"/>
  <c r="CC32" i="73"/>
  <c r="CB32" i="73"/>
  <c r="BF32" i="73"/>
  <c r="BE32" i="73"/>
  <c r="BD32" i="73"/>
  <c r="BC32" i="73"/>
  <c r="AE32" i="73"/>
  <c r="AD32" i="73"/>
  <c r="AC32" i="73"/>
  <c r="AB32" i="73"/>
  <c r="AA32" i="73"/>
  <c r="DF31" i="73"/>
  <c r="DE31" i="73"/>
  <c r="DD31" i="73"/>
  <c r="DC31" i="73"/>
  <c r="DB31" i="73"/>
  <c r="DA31" i="73"/>
  <c r="CZ31" i="73"/>
  <c r="CY31" i="73"/>
  <c r="CC31" i="73"/>
  <c r="CB31" i="73"/>
  <c r="BF31" i="73"/>
  <c r="BE31" i="73"/>
  <c r="BD31" i="73"/>
  <c r="BC31" i="73"/>
  <c r="AE31" i="73"/>
  <c r="AD31" i="73"/>
  <c r="AC31" i="73"/>
  <c r="AB31" i="73"/>
  <c r="AA31" i="73"/>
  <c r="DF30" i="73"/>
  <c r="DE30" i="73"/>
  <c r="DD30" i="73"/>
  <c r="DC30" i="73"/>
  <c r="DB30" i="73"/>
  <c r="DA30" i="73"/>
  <c r="CZ30" i="73"/>
  <c r="CY30" i="73"/>
  <c r="CC30" i="73"/>
  <c r="CB30" i="73"/>
  <c r="BF30" i="73"/>
  <c r="BE30" i="73"/>
  <c r="BD30" i="73"/>
  <c r="BC30" i="73"/>
  <c r="AE30" i="73"/>
  <c r="AD30" i="73"/>
  <c r="AC30" i="73"/>
  <c r="AB30" i="73"/>
  <c r="AA30" i="73"/>
  <c r="DF29" i="73"/>
  <c r="DE29" i="73"/>
  <c r="DD29" i="73"/>
  <c r="DC29" i="73"/>
  <c r="DB29" i="73"/>
  <c r="DA29" i="73"/>
  <c r="CZ29" i="73"/>
  <c r="CY29" i="73"/>
  <c r="CC29" i="73"/>
  <c r="CB29" i="73"/>
  <c r="BF29" i="73"/>
  <c r="BE29" i="73"/>
  <c r="BD29" i="73"/>
  <c r="BC29" i="73"/>
  <c r="AE29" i="73"/>
  <c r="AD29" i="73"/>
  <c r="AC29" i="73"/>
  <c r="AB29" i="73"/>
  <c r="AA29" i="73"/>
  <c r="DF28" i="73"/>
  <c r="DE28" i="73"/>
  <c r="DD28" i="73"/>
  <c r="DC28" i="73"/>
  <c r="DB28" i="73"/>
  <c r="DA28" i="73"/>
  <c r="CZ28" i="73"/>
  <c r="CY28" i="73"/>
  <c r="CC28" i="73"/>
  <c r="CB28" i="73"/>
  <c r="BF28" i="73"/>
  <c r="BE28" i="73"/>
  <c r="BD28" i="73"/>
  <c r="BC28" i="73"/>
  <c r="AE28" i="73"/>
  <c r="AD28" i="73"/>
  <c r="AC28" i="73"/>
  <c r="AB28" i="73"/>
  <c r="AA28" i="73"/>
  <c r="DF27" i="73"/>
  <c r="DE27" i="73"/>
  <c r="DD27" i="73"/>
  <c r="DC27" i="73"/>
  <c r="DB27" i="73"/>
  <c r="DA27" i="73"/>
  <c r="CZ27" i="73"/>
  <c r="CY27" i="73"/>
  <c r="CC27" i="73"/>
  <c r="CB27" i="73"/>
  <c r="BF27" i="73"/>
  <c r="BE27" i="73"/>
  <c r="BD27" i="73"/>
  <c r="BC27" i="73"/>
  <c r="AE27" i="73"/>
  <c r="AD27" i="73"/>
  <c r="AC27" i="73"/>
  <c r="AB27" i="73"/>
  <c r="AA27" i="73"/>
  <c r="DF26" i="73"/>
  <c r="DE26" i="73"/>
  <c r="DD26" i="73"/>
  <c r="DC26" i="73"/>
  <c r="DB26" i="73"/>
  <c r="DA26" i="73"/>
  <c r="CZ26" i="73"/>
  <c r="CY26" i="73"/>
  <c r="CC26" i="73"/>
  <c r="CB26" i="73"/>
  <c r="BF26" i="73"/>
  <c r="BE26" i="73"/>
  <c r="BD26" i="73"/>
  <c r="BC26" i="73"/>
  <c r="AE26" i="73"/>
  <c r="AD26" i="73"/>
  <c r="AC26" i="73"/>
  <c r="AB26" i="73"/>
  <c r="AA26" i="73"/>
  <c r="DF25" i="73"/>
  <c r="DE25" i="73"/>
  <c r="DD25" i="73"/>
  <c r="DC25" i="73"/>
  <c r="DB25" i="73"/>
  <c r="DA25" i="73"/>
  <c r="CZ25" i="73"/>
  <c r="CY25" i="73"/>
  <c r="CC25" i="73"/>
  <c r="CB25" i="73"/>
  <c r="BF25" i="73"/>
  <c r="BE25" i="73"/>
  <c r="BD25" i="73"/>
  <c r="BC25" i="73"/>
  <c r="AE25" i="73"/>
  <c r="AD25" i="73"/>
  <c r="AC25" i="73"/>
  <c r="AB25" i="73"/>
  <c r="AA25" i="73"/>
  <c r="DF24" i="73"/>
  <c r="DE24" i="73"/>
  <c r="DD24" i="73"/>
  <c r="DC24" i="73"/>
  <c r="DB24" i="73"/>
  <c r="DA24" i="73"/>
  <c r="CZ24" i="73"/>
  <c r="CY24" i="73"/>
  <c r="CC24" i="73"/>
  <c r="CB24" i="73"/>
  <c r="BF24" i="73"/>
  <c r="BE24" i="73"/>
  <c r="BD24" i="73"/>
  <c r="BC24" i="73"/>
  <c r="AE24" i="73"/>
  <c r="AD24" i="73"/>
  <c r="AC24" i="73"/>
  <c r="AB24" i="73"/>
  <c r="AA24" i="73"/>
  <c r="DF23" i="73"/>
  <c r="DE23" i="73"/>
  <c r="DD23" i="73"/>
  <c r="DC23" i="73"/>
  <c r="DB23" i="73"/>
  <c r="DA23" i="73"/>
  <c r="CZ23" i="73"/>
  <c r="CY23" i="73"/>
  <c r="CC23" i="73"/>
  <c r="CB23" i="73"/>
  <c r="BF23" i="73"/>
  <c r="BE23" i="73"/>
  <c r="BD23" i="73"/>
  <c r="BC23" i="73"/>
  <c r="AE23" i="73"/>
  <c r="AD23" i="73"/>
  <c r="AC23" i="73"/>
  <c r="AB23" i="73"/>
  <c r="AA23" i="73"/>
  <c r="DF22" i="73"/>
  <c r="DE22" i="73"/>
  <c r="DD22" i="73"/>
  <c r="DC22" i="73"/>
  <c r="DB22" i="73"/>
  <c r="DA22" i="73"/>
  <c r="CZ22" i="73"/>
  <c r="CY22" i="73"/>
  <c r="CC22" i="73"/>
  <c r="CB22" i="73"/>
  <c r="BF22" i="73"/>
  <c r="BE22" i="73"/>
  <c r="BD22" i="73"/>
  <c r="BC22" i="73"/>
  <c r="AE22" i="73"/>
  <c r="AD22" i="73"/>
  <c r="AC22" i="73"/>
  <c r="AB22" i="73"/>
  <c r="AA22" i="73"/>
  <c r="DF21" i="73"/>
  <c r="DE21" i="73"/>
  <c r="DD21" i="73"/>
  <c r="DC21" i="73"/>
  <c r="DB21" i="73"/>
  <c r="DA21" i="73"/>
  <c r="CZ21" i="73"/>
  <c r="CY21" i="73"/>
  <c r="CC21" i="73"/>
  <c r="CB21" i="73"/>
  <c r="BF21" i="73"/>
  <c r="BE21" i="73"/>
  <c r="BD21" i="73"/>
  <c r="BC21" i="73"/>
  <c r="AE21" i="73"/>
  <c r="AD21" i="73"/>
  <c r="AC21" i="73"/>
  <c r="AB21" i="73"/>
  <c r="AA21" i="73"/>
  <c r="DF20" i="73"/>
  <c r="DE20" i="73"/>
  <c r="DD20" i="73"/>
  <c r="DC20" i="73"/>
  <c r="DB20" i="73"/>
  <c r="DA20" i="73"/>
  <c r="CZ20" i="73"/>
  <c r="CY20" i="73"/>
  <c r="CC20" i="73"/>
  <c r="CB20" i="73"/>
  <c r="BF20" i="73"/>
  <c r="BE20" i="73"/>
  <c r="BD20" i="73"/>
  <c r="BC20" i="73"/>
  <c r="AE20" i="73"/>
  <c r="AD20" i="73"/>
  <c r="AC20" i="73"/>
  <c r="AB20" i="73"/>
  <c r="AA20" i="73"/>
  <c r="DF19" i="73"/>
  <c r="DE19" i="73"/>
  <c r="DD19" i="73"/>
  <c r="DC19" i="73"/>
  <c r="DB19" i="73"/>
  <c r="DA19" i="73"/>
  <c r="CZ19" i="73"/>
  <c r="CY19" i="73"/>
  <c r="CC19" i="73"/>
  <c r="CB19" i="73"/>
  <c r="BF19" i="73"/>
  <c r="BE19" i="73"/>
  <c r="BD19" i="73"/>
  <c r="BC19" i="73"/>
  <c r="AE19" i="73"/>
  <c r="AD19" i="73"/>
  <c r="AC19" i="73"/>
  <c r="AB19" i="73"/>
  <c r="AA19" i="73"/>
  <c r="DF18" i="73"/>
  <c r="DE18" i="73"/>
  <c r="DD18" i="73"/>
  <c r="DC18" i="73"/>
  <c r="DB18" i="73"/>
  <c r="DA18" i="73"/>
  <c r="CZ18" i="73"/>
  <c r="CY18" i="73"/>
  <c r="CC18" i="73"/>
  <c r="CB18" i="73"/>
  <c r="BF18" i="73"/>
  <c r="BE18" i="73"/>
  <c r="BD18" i="73"/>
  <c r="BC18" i="73"/>
  <c r="AE18" i="73"/>
  <c r="AD18" i="73"/>
  <c r="AC18" i="73"/>
  <c r="AB18" i="73"/>
  <c r="AA18" i="73"/>
  <c r="DF17" i="73"/>
  <c r="DE17" i="73"/>
  <c r="DD17" i="73"/>
  <c r="DC17" i="73"/>
  <c r="DB17" i="73"/>
  <c r="DA17" i="73"/>
  <c r="CZ17" i="73"/>
  <c r="CY17" i="73"/>
  <c r="CC17" i="73"/>
  <c r="CB17" i="73"/>
  <c r="BF17" i="73"/>
  <c r="BE17" i="73"/>
  <c r="BD17" i="73"/>
  <c r="BC17" i="73"/>
  <c r="AE17" i="73"/>
  <c r="AD17" i="73"/>
  <c r="AC17" i="73"/>
  <c r="AB17" i="73"/>
  <c r="AA17" i="73"/>
  <c r="DF16" i="73"/>
  <c r="DE16" i="73"/>
  <c r="DD16" i="73"/>
  <c r="DC16" i="73"/>
  <c r="DB16" i="73"/>
  <c r="DA16" i="73"/>
  <c r="CZ16" i="73"/>
  <c r="CY16" i="73"/>
  <c r="CC16" i="73"/>
  <c r="CB16" i="73"/>
  <c r="BF16" i="73"/>
  <c r="BE16" i="73"/>
  <c r="BD16" i="73"/>
  <c r="BC16" i="73"/>
  <c r="AE16" i="73"/>
  <c r="AD16" i="73"/>
  <c r="AC16" i="73"/>
  <c r="AB16" i="73"/>
  <c r="AA16" i="73"/>
  <c r="DF15" i="73"/>
  <c r="DE15" i="73"/>
  <c r="DD15" i="73"/>
  <c r="DC15" i="73"/>
  <c r="DB15" i="73"/>
  <c r="DA15" i="73"/>
  <c r="CZ15" i="73"/>
  <c r="CY15" i="73"/>
  <c r="CC15" i="73"/>
  <c r="CB15" i="73"/>
  <c r="BF15" i="73"/>
  <c r="BE15" i="73"/>
  <c r="BD15" i="73"/>
  <c r="BC15" i="73"/>
  <c r="AE15" i="73"/>
  <c r="AD15" i="73"/>
  <c r="AC15" i="73"/>
  <c r="AB15" i="73"/>
  <c r="AA15" i="73"/>
  <c r="DF14" i="73"/>
  <c r="DE14" i="73"/>
  <c r="DD14" i="73"/>
  <c r="DC14" i="73"/>
  <c r="DB14" i="73"/>
  <c r="DA14" i="73"/>
  <c r="CZ14" i="73"/>
  <c r="CY14" i="73"/>
  <c r="CC14" i="73"/>
  <c r="CB14" i="73"/>
  <c r="BF14" i="73"/>
  <c r="BE14" i="73"/>
  <c r="BD14" i="73"/>
  <c r="BC14" i="73"/>
  <c r="AE14" i="73"/>
  <c r="AD14" i="73"/>
  <c r="AC14" i="73"/>
  <c r="AB14" i="73"/>
  <c r="AA14" i="73"/>
  <c r="DF13" i="73"/>
  <c r="DE13" i="73"/>
  <c r="DD13" i="73"/>
  <c r="DC13" i="73"/>
  <c r="DB13" i="73"/>
  <c r="DA13" i="73"/>
  <c r="CZ13" i="73"/>
  <c r="CY13" i="73"/>
  <c r="CC13" i="73"/>
  <c r="CB13" i="73"/>
  <c r="BF13" i="73"/>
  <c r="BE13" i="73"/>
  <c r="BD13" i="73"/>
  <c r="BC13" i="73"/>
  <c r="AE13" i="73"/>
  <c r="AD13" i="73"/>
  <c r="AC13" i="73"/>
  <c r="AB13" i="73"/>
  <c r="AA13" i="73"/>
  <c r="DF12" i="73"/>
  <c r="DE12" i="73"/>
  <c r="DD12" i="73"/>
  <c r="DC12" i="73"/>
  <c r="DB12" i="73"/>
  <c r="DA12" i="73"/>
  <c r="CZ12" i="73"/>
  <c r="CY12" i="73"/>
  <c r="CC12" i="73"/>
  <c r="CB12" i="73"/>
  <c r="BF12" i="73"/>
  <c r="BE12" i="73"/>
  <c r="BD12" i="73"/>
  <c r="BC12" i="73"/>
  <c r="AE12" i="73"/>
  <c r="AD12" i="73"/>
  <c r="AC12" i="73"/>
  <c r="AB12" i="73"/>
  <c r="AA12" i="73"/>
  <c r="DF11" i="73"/>
  <c r="DE11" i="73"/>
  <c r="DD11" i="73"/>
  <c r="DC11" i="73"/>
  <c r="DB11" i="73"/>
  <c r="DA11" i="73"/>
  <c r="CZ11" i="73"/>
  <c r="CY11" i="73"/>
  <c r="CC11" i="73"/>
  <c r="CB11" i="73"/>
  <c r="BF11" i="73"/>
  <c r="BE11" i="73"/>
  <c r="BD11" i="73"/>
  <c r="BC11" i="73"/>
  <c r="AE11" i="73"/>
  <c r="AD11" i="73"/>
  <c r="AC11" i="73"/>
  <c r="AB11" i="73"/>
  <c r="AA11" i="73"/>
  <c r="DF10" i="73"/>
  <c r="DE10" i="73"/>
  <c r="DD10" i="73"/>
  <c r="DC10" i="73"/>
  <c r="DB10" i="73"/>
  <c r="DA10" i="73"/>
  <c r="CZ10" i="73"/>
  <c r="CY10" i="73"/>
  <c r="CC10" i="73"/>
  <c r="CB10" i="73"/>
  <c r="BF10" i="73"/>
  <c r="BE10" i="73"/>
  <c r="BD10" i="73"/>
  <c r="BC10" i="73"/>
  <c r="AE10" i="73"/>
  <c r="AD10" i="73"/>
  <c r="AC10" i="73"/>
  <c r="AB10" i="73"/>
  <c r="AA10" i="73"/>
  <c r="DF9" i="73"/>
  <c r="DE9" i="73"/>
  <c r="DD9" i="73"/>
  <c r="DC9" i="73"/>
  <c r="DB9" i="73"/>
  <c r="DA9" i="73"/>
  <c r="CZ9" i="73"/>
  <c r="CY9" i="73"/>
  <c r="CC9" i="73"/>
  <c r="CB9" i="73"/>
  <c r="BF9" i="73"/>
  <c r="BE9" i="73"/>
  <c r="BD9" i="73"/>
  <c r="BC9" i="73"/>
  <c r="AE9" i="73"/>
  <c r="AD9" i="73"/>
  <c r="AC9" i="73"/>
  <c r="AB9" i="73"/>
  <c r="AA9" i="73"/>
  <c r="A9" i="73"/>
  <c r="AO87" i="72"/>
  <c r="BL87" i="72" s="1"/>
  <c r="AO86" i="72"/>
  <c r="BL86" i="72" s="1"/>
  <c r="AO85" i="72"/>
  <c r="BL85" i="72" s="1"/>
  <c r="AO84" i="72"/>
  <c r="BL84" i="72" s="1"/>
  <c r="A50" i="72"/>
  <c r="A46" i="72"/>
  <c r="A45" i="72"/>
  <c r="A44" i="72"/>
  <c r="A43" i="72"/>
  <c r="A41" i="72"/>
  <c r="R39" i="72"/>
  <c r="T71" i="72" s="1"/>
  <c r="V42" i="72" s="1"/>
  <c r="DF38" i="72"/>
  <c r="DE38" i="72"/>
  <c r="DD38" i="72"/>
  <c r="DC38" i="72"/>
  <c r="DB38" i="72"/>
  <c r="DA38" i="72"/>
  <c r="CZ38" i="72"/>
  <c r="CY38" i="72"/>
  <c r="CC38" i="72"/>
  <c r="CB38" i="72"/>
  <c r="BF38" i="72"/>
  <c r="BE38" i="72"/>
  <c r="BD38" i="72"/>
  <c r="BC38" i="72"/>
  <c r="AE38" i="72"/>
  <c r="AD38" i="72"/>
  <c r="AC38" i="72"/>
  <c r="AB38" i="72"/>
  <c r="AA38" i="72"/>
  <c r="DF37" i="72"/>
  <c r="DE37" i="72"/>
  <c r="DD37" i="72"/>
  <c r="DC37" i="72"/>
  <c r="DB37" i="72"/>
  <c r="DA37" i="72"/>
  <c r="CZ37" i="72"/>
  <c r="CY37" i="72"/>
  <c r="CC37" i="72"/>
  <c r="CB37" i="72"/>
  <c r="BF37" i="72"/>
  <c r="BE37" i="72"/>
  <c r="BD37" i="72"/>
  <c r="BC37" i="72"/>
  <c r="AE37" i="72"/>
  <c r="AD37" i="72"/>
  <c r="AC37" i="72"/>
  <c r="AB37" i="72"/>
  <c r="AA37" i="72"/>
  <c r="DF36" i="72"/>
  <c r="DE36" i="72"/>
  <c r="DD36" i="72"/>
  <c r="DC36" i="72"/>
  <c r="DB36" i="72"/>
  <c r="DA36" i="72"/>
  <c r="CZ36" i="72"/>
  <c r="CY36" i="72"/>
  <c r="CC36" i="72"/>
  <c r="CB36" i="72"/>
  <c r="BF36" i="72"/>
  <c r="BE36" i="72"/>
  <c r="BD36" i="72"/>
  <c r="BC36" i="72"/>
  <c r="AE36" i="72"/>
  <c r="AD36" i="72"/>
  <c r="AC36" i="72"/>
  <c r="AB36" i="72"/>
  <c r="AA36" i="72"/>
  <c r="DF35" i="72"/>
  <c r="DE35" i="72"/>
  <c r="DD35" i="72"/>
  <c r="DC35" i="72"/>
  <c r="DB35" i="72"/>
  <c r="DA35" i="72"/>
  <c r="CZ35" i="72"/>
  <c r="CY35" i="72"/>
  <c r="CC35" i="72"/>
  <c r="CB35" i="72"/>
  <c r="BF35" i="72"/>
  <c r="BE35" i="72"/>
  <c r="BD35" i="72"/>
  <c r="BC35" i="72"/>
  <c r="AE35" i="72"/>
  <c r="AD35" i="72"/>
  <c r="AC35" i="72"/>
  <c r="AB35" i="72"/>
  <c r="AA35" i="72"/>
  <c r="DF34" i="72"/>
  <c r="DE34" i="72"/>
  <c r="DD34" i="72"/>
  <c r="DC34" i="72"/>
  <c r="DB34" i="72"/>
  <c r="DA34" i="72"/>
  <c r="CZ34" i="72"/>
  <c r="CY34" i="72"/>
  <c r="CC34" i="72"/>
  <c r="CB34" i="72"/>
  <c r="BF34" i="72"/>
  <c r="BE34" i="72"/>
  <c r="BD34" i="72"/>
  <c r="BC34" i="72"/>
  <c r="AE34" i="72"/>
  <c r="AD34" i="72"/>
  <c r="AC34" i="72"/>
  <c r="AB34" i="72"/>
  <c r="AA34" i="72"/>
  <c r="DF33" i="72"/>
  <c r="DE33" i="72"/>
  <c r="DD33" i="72"/>
  <c r="DC33" i="72"/>
  <c r="DB33" i="72"/>
  <c r="DA33" i="72"/>
  <c r="CZ33" i="72"/>
  <c r="CY33" i="72"/>
  <c r="CC33" i="72"/>
  <c r="CB33" i="72"/>
  <c r="BF33" i="72"/>
  <c r="BE33" i="72"/>
  <c r="BD33" i="72"/>
  <c r="BC33" i="72"/>
  <c r="AE33" i="72"/>
  <c r="AD33" i="72"/>
  <c r="AC33" i="72"/>
  <c r="AB33" i="72"/>
  <c r="AA33" i="72"/>
  <c r="DF32" i="72"/>
  <c r="DE32" i="72"/>
  <c r="DD32" i="72"/>
  <c r="DC32" i="72"/>
  <c r="DB32" i="72"/>
  <c r="DA32" i="72"/>
  <c r="CZ32" i="72"/>
  <c r="CY32" i="72"/>
  <c r="CC32" i="72"/>
  <c r="CB32" i="72"/>
  <c r="BF32" i="72"/>
  <c r="BE32" i="72"/>
  <c r="BD32" i="72"/>
  <c r="BC32" i="72"/>
  <c r="AE32" i="72"/>
  <c r="AD32" i="72"/>
  <c r="AC32" i="72"/>
  <c r="AB32" i="72"/>
  <c r="AA32" i="72"/>
  <c r="DF31" i="72"/>
  <c r="DE31" i="72"/>
  <c r="DD31" i="72"/>
  <c r="DC31" i="72"/>
  <c r="DB31" i="72"/>
  <c r="DA31" i="72"/>
  <c r="CZ31" i="72"/>
  <c r="CY31" i="72"/>
  <c r="CC31" i="72"/>
  <c r="CB31" i="72"/>
  <c r="BF31" i="72"/>
  <c r="BE31" i="72"/>
  <c r="BD31" i="72"/>
  <c r="BC31" i="72"/>
  <c r="AE31" i="72"/>
  <c r="AD31" i="72"/>
  <c r="AC31" i="72"/>
  <c r="AB31" i="72"/>
  <c r="AA31" i="72"/>
  <c r="DF30" i="72"/>
  <c r="DE30" i="72"/>
  <c r="DD30" i="72"/>
  <c r="DC30" i="72"/>
  <c r="DB30" i="72"/>
  <c r="DA30" i="72"/>
  <c r="CZ30" i="72"/>
  <c r="CY30" i="72"/>
  <c r="CC30" i="72"/>
  <c r="CB30" i="72"/>
  <c r="BF30" i="72"/>
  <c r="BE30" i="72"/>
  <c r="BD30" i="72"/>
  <c r="BC30" i="72"/>
  <c r="AE30" i="72"/>
  <c r="AD30" i="72"/>
  <c r="AC30" i="72"/>
  <c r="AB30" i="72"/>
  <c r="AA30" i="72"/>
  <c r="DF29" i="72"/>
  <c r="DE29" i="72"/>
  <c r="DD29" i="72"/>
  <c r="DC29" i="72"/>
  <c r="DB29" i="72"/>
  <c r="DA29" i="72"/>
  <c r="CZ29" i="72"/>
  <c r="CY29" i="72"/>
  <c r="CC29" i="72"/>
  <c r="CB29" i="72"/>
  <c r="BF29" i="72"/>
  <c r="BE29" i="72"/>
  <c r="BD29" i="72"/>
  <c r="BC29" i="72"/>
  <c r="AE29" i="72"/>
  <c r="AD29" i="72"/>
  <c r="AC29" i="72"/>
  <c r="AB29" i="72"/>
  <c r="AA29" i="72"/>
  <c r="DF28" i="72"/>
  <c r="DE28" i="72"/>
  <c r="DD28" i="72"/>
  <c r="DC28" i="72"/>
  <c r="DB28" i="72"/>
  <c r="DA28" i="72"/>
  <c r="CZ28" i="72"/>
  <c r="CY28" i="72"/>
  <c r="CC28" i="72"/>
  <c r="CB28" i="72"/>
  <c r="BF28" i="72"/>
  <c r="BE28" i="72"/>
  <c r="BD28" i="72"/>
  <c r="BC28" i="72"/>
  <c r="AE28" i="72"/>
  <c r="AD28" i="72"/>
  <c r="AC28" i="72"/>
  <c r="AB28" i="72"/>
  <c r="AA28" i="72"/>
  <c r="DF27" i="72"/>
  <c r="DE27" i="72"/>
  <c r="DD27" i="72"/>
  <c r="DC27" i="72"/>
  <c r="DB27" i="72"/>
  <c r="DA27" i="72"/>
  <c r="CZ27" i="72"/>
  <c r="CY27" i="72"/>
  <c r="CC27" i="72"/>
  <c r="CB27" i="72"/>
  <c r="BF27" i="72"/>
  <c r="BE27" i="72"/>
  <c r="BD27" i="72"/>
  <c r="BC27" i="72"/>
  <c r="AE27" i="72"/>
  <c r="AD27" i="72"/>
  <c r="AC27" i="72"/>
  <c r="AB27" i="72"/>
  <c r="AA27" i="72"/>
  <c r="DF26" i="72"/>
  <c r="DE26" i="72"/>
  <c r="DD26" i="72"/>
  <c r="DC26" i="72"/>
  <c r="DB26" i="72"/>
  <c r="DA26" i="72"/>
  <c r="CZ26" i="72"/>
  <c r="CY26" i="72"/>
  <c r="CC26" i="72"/>
  <c r="CB26" i="72"/>
  <c r="BF26" i="72"/>
  <c r="BE26" i="72"/>
  <c r="BD26" i="72"/>
  <c r="BC26" i="72"/>
  <c r="AE26" i="72"/>
  <c r="AD26" i="72"/>
  <c r="AC26" i="72"/>
  <c r="AB26" i="72"/>
  <c r="AA26" i="72"/>
  <c r="DF25" i="72"/>
  <c r="DE25" i="72"/>
  <c r="DD25" i="72"/>
  <c r="DC25" i="72"/>
  <c r="DB25" i="72"/>
  <c r="DA25" i="72"/>
  <c r="CZ25" i="72"/>
  <c r="CY25" i="72"/>
  <c r="CC25" i="72"/>
  <c r="CB25" i="72"/>
  <c r="BF25" i="72"/>
  <c r="BE25" i="72"/>
  <c r="BD25" i="72"/>
  <c r="BC25" i="72"/>
  <c r="AE25" i="72"/>
  <c r="AD25" i="72"/>
  <c r="AC25" i="72"/>
  <c r="AB25" i="72"/>
  <c r="AA25" i="72"/>
  <c r="DF24" i="72"/>
  <c r="DE24" i="72"/>
  <c r="DD24" i="72"/>
  <c r="DC24" i="72"/>
  <c r="DB24" i="72"/>
  <c r="DA24" i="72"/>
  <c r="CZ24" i="72"/>
  <c r="CY24" i="72"/>
  <c r="CC24" i="72"/>
  <c r="CB24" i="72"/>
  <c r="BF24" i="72"/>
  <c r="BE24" i="72"/>
  <c r="BD24" i="72"/>
  <c r="BC24" i="72"/>
  <c r="AE24" i="72"/>
  <c r="AD24" i="72"/>
  <c r="AC24" i="72"/>
  <c r="AB24" i="72"/>
  <c r="AA24" i="72"/>
  <c r="DF23" i="72"/>
  <c r="DE23" i="72"/>
  <c r="DD23" i="72"/>
  <c r="DC23" i="72"/>
  <c r="DB23" i="72"/>
  <c r="DA23" i="72"/>
  <c r="CZ23" i="72"/>
  <c r="CY23" i="72"/>
  <c r="CC23" i="72"/>
  <c r="CB23" i="72"/>
  <c r="BF23" i="72"/>
  <c r="BE23" i="72"/>
  <c r="BD23" i="72"/>
  <c r="BC23" i="72"/>
  <c r="AE23" i="72"/>
  <c r="AD23" i="72"/>
  <c r="AC23" i="72"/>
  <c r="AB23" i="72"/>
  <c r="AA23" i="72"/>
  <c r="DF22" i="72"/>
  <c r="DE22" i="72"/>
  <c r="DD22" i="72"/>
  <c r="DC22" i="72"/>
  <c r="DB22" i="72"/>
  <c r="DA22" i="72"/>
  <c r="CZ22" i="72"/>
  <c r="CY22" i="72"/>
  <c r="CC22" i="72"/>
  <c r="CB22" i="72"/>
  <c r="BF22" i="72"/>
  <c r="BE22" i="72"/>
  <c r="BD22" i="72"/>
  <c r="BC22" i="72"/>
  <c r="AE22" i="72"/>
  <c r="AD22" i="72"/>
  <c r="AC22" i="72"/>
  <c r="AB22" i="72"/>
  <c r="AA22" i="72"/>
  <c r="DF21" i="72"/>
  <c r="DE21" i="72"/>
  <c r="DD21" i="72"/>
  <c r="DC21" i="72"/>
  <c r="DB21" i="72"/>
  <c r="DA21" i="72"/>
  <c r="CZ21" i="72"/>
  <c r="CY21" i="72"/>
  <c r="CC21" i="72"/>
  <c r="CB21" i="72"/>
  <c r="BF21" i="72"/>
  <c r="BE21" i="72"/>
  <c r="BD21" i="72"/>
  <c r="BC21" i="72"/>
  <c r="AE21" i="72"/>
  <c r="AD21" i="72"/>
  <c r="AC21" i="72"/>
  <c r="AB21" i="72"/>
  <c r="AA21" i="72"/>
  <c r="DF20" i="72"/>
  <c r="DE20" i="72"/>
  <c r="DD20" i="72"/>
  <c r="DC20" i="72"/>
  <c r="DB20" i="72"/>
  <c r="DA20" i="72"/>
  <c r="CZ20" i="72"/>
  <c r="CY20" i="72"/>
  <c r="CC20" i="72"/>
  <c r="CB20" i="72"/>
  <c r="BF20" i="72"/>
  <c r="BE20" i="72"/>
  <c r="BD20" i="72"/>
  <c r="BC20" i="72"/>
  <c r="AE20" i="72"/>
  <c r="AD20" i="72"/>
  <c r="AC20" i="72"/>
  <c r="AB20" i="72"/>
  <c r="AA20" i="72"/>
  <c r="DF19" i="72"/>
  <c r="DE19" i="72"/>
  <c r="DD19" i="72"/>
  <c r="DC19" i="72"/>
  <c r="DB19" i="72"/>
  <c r="DA19" i="72"/>
  <c r="CZ19" i="72"/>
  <c r="CY19" i="72"/>
  <c r="CC19" i="72"/>
  <c r="CB19" i="72"/>
  <c r="BF19" i="72"/>
  <c r="BE19" i="72"/>
  <c r="BD19" i="72"/>
  <c r="BC19" i="72"/>
  <c r="AE19" i="72"/>
  <c r="AD19" i="72"/>
  <c r="AC19" i="72"/>
  <c r="AB19" i="72"/>
  <c r="AA19" i="72"/>
  <c r="DF18" i="72"/>
  <c r="DE18" i="72"/>
  <c r="DD18" i="72"/>
  <c r="DC18" i="72"/>
  <c r="DB18" i="72"/>
  <c r="DA18" i="72"/>
  <c r="CZ18" i="72"/>
  <c r="CY18" i="72"/>
  <c r="CC18" i="72"/>
  <c r="CB18" i="72"/>
  <c r="BF18" i="72"/>
  <c r="BE18" i="72"/>
  <c r="BD18" i="72"/>
  <c r="BC18" i="72"/>
  <c r="AE18" i="72"/>
  <c r="AD18" i="72"/>
  <c r="AC18" i="72"/>
  <c r="AB18" i="72"/>
  <c r="AA18" i="72"/>
  <c r="DF17" i="72"/>
  <c r="DE17" i="72"/>
  <c r="DD17" i="72"/>
  <c r="DC17" i="72"/>
  <c r="DB17" i="72"/>
  <c r="DA17" i="72"/>
  <c r="CZ17" i="72"/>
  <c r="CY17" i="72"/>
  <c r="CC17" i="72"/>
  <c r="CB17" i="72"/>
  <c r="BF17" i="72"/>
  <c r="BE17" i="72"/>
  <c r="BD17" i="72"/>
  <c r="BC17" i="72"/>
  <c r="AE17" i="72"/>
  <c r="AD17" i="72"/>
  <c r="AC17" i="72"/>
  <c r="AB17" i="72"/>
  <c r="AA17" i="72"/>
  <c r="DF16" i="72"/>
  <c r="DE16" i="72"/>
  <c r="DD16" i="72"/>
  <c r="DC16" i="72"/>
  <c r="DB16" i="72"/>
  <c r="DA16" i="72"/>
  <c r="CZ16" i="72"/>
  <c r="CY16" i="72"/>
  <c r="CC16" i="72"/>
  <c r="CB16" i="72"/>
  <c r="BF16" i="72"/>
  <c r="BE16" i="72"/>
  <c r="BD16" i="72"/>
  <c r="BC16" i="72"/>
  <c r="AE16" i="72"/>
  <c r="AD16" i="72"/>
  <c r="AC16" i="72"/>
  <c r="AB16" i="72"/>
  <c r="AA16" i="72"/>
  <c r="DF15" i="72"/>
  <c r="DE15" i="72"/>
  <c r="DD15" i="72"/>
  <c r="DC15" i="72"/>
  <c r="DB15" i="72"/>
  <c r="DA15" i="72"/>
  <c r="CZ15" i="72"/>
  <c r="CY15" i="72"/>
  <c r="CC15" i="72"/>
  <c r="CB15" i="72"/>
  <c r="BF15" i="72"/>
  <c r="BE15" i="72"/>
  <c r="BD15" i="72"/>
  <c r="BC15" i="72"/>
  <c r="AE15" i="72"/>
  <c r="AD15" i="72"/>
  <c r="AC15" i="72"/>
  <c r="AB15" i="72"/>
  <c r="AA15" i="72"/>
  <c r="DF14" i="72"/>
  <c r="DE14" i="72"/>
  <c r="DD14" i="72"/>
  <c r="DC14" i="72"/>
  <c r="DB14" i="72"/>
  <c r="DA14" i="72"/>
  <c r="CZ14" i="72"/>
  <c r="CY14" i="72"/>
  <c r="CC14" i="72"/>
  <c r="CB14" i="72"/>
  <c r="BF14" i="72"/>
  <c r="BE14" i="72"/>
  <c r="BD14" i="72"/>
  <c r="BC14" i="72"/>
  <c r="AE14" i="72"/>
  <c r="AD14" i="72"/>
  <c r="AC14" i="72"/>
  <c r="AB14" i="72"/>
  <c r="AA14" i="72"/>
  <c r="DF13" i="72"/>
  <c r="DE13" i="72"/>
  <c r="DD13" i="72"/>
  <c r="DC13" i="72"/>
  <c r="DB13" i="72"/>
  <c r="DA13" i="72"/>
  <c r="CZ13" i="72"/>
  <c r="CY13" i="72"/>
  <c r="CC13" i="72"/>
  <c r="CB13" i="72"/>
  <c r="BF13" i="72"/>
  <c r="BE13" i="72"/>
  <c r="BD13" i="72"/>
  <c r="BC13" i="72"/>
  <c r="AE13" i="72"/>
  <c r="AD13" i="72"/>
  <c r="AC13" i="72"/>
  <c r="AB13" i="72"/>
  <c r="AA13" i="72"/>
  <c r="DF12" i="72"/>
  <c r="DE12" i="72"/>
  <c r="DD12" i="72"/>
  <c r="DC12" i="72"/>
  <c r="DB12" i="72"/>
  <c r="DA12" i="72"/>
  <c r="CZ12" i="72"/>
  <c r="CY12" i="72"/>
  <c r="CC12" i="72"/>
  <c r="CB12" i="72"/>
  <c r="BF12" i="72"/>
  <c r="BE12" i="72"/>
  <c r="BD12" i="72"/>
  <c r="BC12" i="72"/>
  <c r="AE12" i="72"/>
  <c r="AD12" i="72"/>
  <c r="AC12" i="72"/>
  <c r="AB12" i="72"/>
  <c r="AA12" i="72"/>
  <c r="DF11" i="72"/>
  <c r="DE11" i="72"/>
  <c r="DD11" i="72"/>
  <c r="DC11" i="72"/>
  <c r="DB11" i="72"/>
  <c r="DA11" i="72"/>
  <c r="CZ11" i="72"/>
  <c r="CY11" i="72"/>
  <c r="CC11" i="72"/>
  <c r="CB11" i="72"/>
  <c r="BF11" i="72"/>
  <c r="BE11" i="72"/>
  <c r="BD11" i="72"/>
  <c r="BC11" i="72"/>
  <c r="AE11" i="72"/>
  <c r="AD11" i="72"/>
  <c r="AC11" i="72"/>
  <c r="AB11" i="72"/>
  <c r="AA11" i="72"/>
  <c r="DF10" i="72"/>
  <c r="DE10" i="72"/>
  <c r="DD10" i="72"/>
  <c r="DC10" i="72"/>
  <c r="DB10" i="72"/>
  <c r="DA10" i="72"/>
  <c r="CZ10" i="72"/>
  <c r="CY10" i="72"/>
  <c r="CC10" i="72"/>
  <c r="CB10" i="72"/>
  <c r="BF10" i="72"/>
  <c r="BE10" i="72"/>
  <c r="BD10" i="72"/>
  <c r="BC10" i="72"/>
  <c r="AE10" i="72"/>
  <c r="AD10" i="72"/>
  <c r="AC10" i="72"/>
  <c r="AB10" i="72"/>
  <c r="AA10" i="72"/>
  <c r="DF9" i="72"/>
  <c r="DE9" i="72"/>
  <c r="DD9" i="72"/>
  <c r="DC9" i="72"/>
  <c r="DB9" i="72"/>
  <c r="DA9" i="72"/>
  <c r="CZ9" i="72"/>
  <c r="CY9" i="72"/>
  <c r="CC9" i="72"/>
  <c r="CB9" i="72"/>
  <c r="BF9" i="72"/>
  <c r="BE9" i="72"/>
  <c r="BD9" i="72"/>
  <c r="BC9" i="72"/>
  <c r="AE9" i="72"/>
  <c r="AD9" i="72"/>
  <c r="AC9" i="72"/>
  <c r="AB9" i="72"/>
  <c r="AA9" i="72"/>
  <c r="A9" i="72"/>
  <c r="AO88" i="71"/>
  <c r="BL88" i="71" s="1"/>
  <c r="AO87" i="71"/>
  <c r="BL87" i="71" s="1"/>
  <c r="AO86" i="71"/>
  <c r="BL86" i="71" s="1"/>
  <c r="AO85" i="71"/>
  <c r="BL85" i="71" s="1"/>
  <c r="A51" i="71"/>
  <c r="A47" i="71"/>
  <c r="A46" i="71"/>
  <c r="A45" i="71"/>
  <c r="A44" i="71"/>
  <c r="A42" i="71"/>
  <c r="R40" i="71"/>
  <c r="T72" i="71" s="1"/>
  <c r="V43" i="71" s="1"/>
  <c r="DF39" i="71"/>
  <c r="DE39" i="71"/>
  <c r="DD39" i="71"/>
  <c r="DC39" i="71"/>
  <c r="DB39" i="71"/>
  <c r="DA39" i="71"/>
  <c r="CZ39" i="71"/>
  <c r="CY39" i="71"/>
  <c r="CC39" i="71"/>
  <c r="CB39" i="71"/>
  <c r="BF39" i="71"/>
  <c r="BE39" i="71"/>
  <c r="BD39" i="71"/>
  <c r="BC39" i="71"/>
  <c r="AE39" i="71"/>
  <c r="AD39" i="71"/>
  <c r="AC39" i="71"/>
  <c r="AB39" i="71"/>
  <c r="AA39" i="71"/>
  <c r="DF38" i="71"/>
  <c r="DE38" i="71"/>
  <c r="DD38" i="71"/>
  <c r="DC38" i="71"/>
  <c r="DB38" i="71"/>
  <c r="DA38" i="71"/>
  <c r="CZ38" i="71"/>
  <c r="CY38" i="71"/>
  <c r="CC38" i="71"/>
  <c r="CB38" i="71"/>
  <c r="BF38" i="71"/>
  <c r="BE38" i="71"/>
  <c r="BD38" i="71"/>
  <c r="BC38" i="71"/>
  <c r="AE38" i="71"/>
  <c r="AD38" i="71"/>
  <c r="AC38" i="71"/>
  <c r="AB38" i="71"/>
  <c r="AA38" i="71"/>
  <c r="DF37" i="71"/>
  <c r="DE37" i="71"/>
  <c r="DD37" i="71"/>
  <c r="DC37" i="71"/>
  <c r="DB37" i="71"/>
  <c r="DA37" i="71"/>
  <c r="CZ37" i="71"/>
  <c r="CY37" i="71"/>
  <c r="CC37" i="71"/>
  <c r="CB37" i="71"/>
  <c r="BF37" i="71"/>
  <c r="BE37" i="71"/>
  <c r="BD37" i="71"/>
  <c r="BC37" i="71"/>
  <c r="AE37" i="71"/>
  <c r="AD37" i="71"/>
  <c r="AC37" i="71"/>
  <c r="AB37" i="71"/>
  <c r="AA37" i="71"/>
  <c r="DF36" i="71"/>
  <c r="DE36" i="71"/>
  <c r="DD36" i="71"/>
  <c r="DC36" i="71"/>
  <c r="DB36" i="71"/>
  <c r="DA36" i="71"/>
  <c r="CZ36" i="71"/>
  <c r="CY36" i="71"/>
  <c r="CC36" i="71"/>
  <c r="CB36" i="71"/>
  <c r="BF36" i="71"/>
  <c r="BE36" i="71"/>
  <c r="BD36" i="71"/>
  <c r="BC36" i="71"/>
  <c r="AE36" i="71"/>
  <c r="AD36" i="71"/>
  <c r="AC36" i="71"/>
  <c r="AB36" i="71"/>
  <c r="AA36" i="71"/>
  <c r="DF35" i="71"/>
  <c r="DE35" i="71"/>
  <c r="DD35" i="71"/>
  <c r="DC35" i="71"/>
  <c r="DB35" i="71"/>
  <c r="DA35" i="71"/>
  <c r="CZ35" i="71"/>
  <c r="CY35" i="71"/>
  <c r="CC35" i="71"/>
  <c r="CB35" i="71"/>
  <c r="BF35" i="71"/>
  <c r="BE35" i="71"/>
  <c r="BD35" i="71"/>
  <c r="BC35" i="71"/>
  <c r="AE35" i="71"/>
  <c r="AD35" i="71"/>
  <c r="AC35" i="71"/>
  <c r="AB35" i="71"/>
  <c r="AA35" i="71"/>
  <c r="DF34" i="71"/>
  <c r="DE34" i="71"/>
  <c r="DD34" i="71"/>
  <c r="DC34" i="71"/>
  <c r="DB34" i="71"/>
  <c r="DA34" i="71"/>
  <c r="CZ34" i="71"/>
  <c r="CY34" i="71"/>
  <c r="CC34" i="71"/>
  <c r="CB34" i="71"/>
  <c r="BF34" i="71"/>
  <c r="BE34" i="71"/>
  <c r="BD34" i="71"/>
  <c r="BC34" i="71"/>
  <c r="AE34" i="71"/>
  <c r="AD34" i="71"/>
  <c r="AC34" i="71"/>
  <c r="AB34" i="71"/>
  <c r="AA34" i="71"/>
  <c r="DF33" i="71"/>
  <c r="DE33" i="71"/>
  <c r="DD33" i="71"/>
  <c r="DC33" i="71"/>
  <c r="DB33" i="71"/>
  <c r="DA33" i="71"/>
  <c r="CZ33" i="71"/>
  <c r="CY33" i="71"/>
  <c r="CC33" i="71"/>
  <c r="CB33" i="71"/>
  <c r="BF33" i="71"/>
  <c r="BE33" i="71"/>
  <c r="BD33" i="71"/>
  <c r="BC33" i="71"/>
  <c r="AE33" i="71"/>
  <c r="AD33" i="71"/>
  <c r="AC33" i="71"/>
  <c r="AB33" i="71"/>
  <c r="AA33" i="71"/>
  <c r="DF32" i="71"/>
  <c r="DE32" i="71"/>
  <c r="DD32" i="71"/>
  <c r="DC32" i="71"/>
  <c r="DB32" i="71"/>
  <c r="DA32" i="71"/>
  <c r="CZ32" i="71"/>
  <c r="CY32" i="71"/>
  <c r="CC32" i="71"/>
  <c r="CB32" i="71"/>
  <c r="BF32" i="71"/>
  <c r="BE32" i="71"/>
  <c r="BD32" i="71"/>
  <c r="BC32" i="71"/>
  <c r="AE32" i="71"/>
  <c r="AD32" i="71"/>
  <c r="AC32" i="71"/>
  <c r="AB32" i="71"/>
  <c r="AA32" i="71"/>
  <c r="DF31" i="71"/>
  <c r="DE31" i="71"/>
  <c r="DD31" i="71"/>
  <c r="DC31" i="71"/>
  <c r="DB31" i="71"/>
  <c r="DA31" i="71"/>
  <c r="CZ31" i="71"/>
  <c r="CY31" i="71"/>
  <c r="CC31" i="71"/>
  <c r="CB31" i="71"/>
  <c r="BF31" i="71"/>
  <c r="BE31" i="71"/>
  <c r="BD31" i="71"/>
  <c r="BC31" i="71"/>
  <c r="AE31" i="71"/>
  <c r="AD31" i="71"/>
  <c r="AC31" i="71"/>
  <c r="AB31" i="71"/>
  <c r="AA31" i="71"/>
  <c r="DF30" i="71"/>
  <c r="DE30" i="71"/>
  <c r="DD30" i="71"/>
  <c r="DC30" i="71"/>
  <c r="DB30" i="71"/>
  <c r="DA30" i="71"/>
  <c r="CZ30" i="71"/>
  <c r="CY30" i="71"/>
  <c r="CC30" i="71"/>
  <c r="CB30" i="71"/>
  <c r="BF30" i="71"/>
  <c r="BE30" i="71"/>
  <c r="BD30" i="71"/>
  <c r="BC30" i="71"/>
  <c r="AE30" i="71"/>
  <c r="AD30" i="71"/>
  <c r="AC30" i="71"/>
  <c r="AB30" i="71"/>
  <c r="AA30" i="71"/>
  <c r="DF29" i="71"/>
  <c r="DE29" i="71"/>
  <c r="DD29" i="71"/>
  <c r="DC29" i="71"/>
  <c r="DB29" i="71"/>
  <c r="DA29" i="71"/>
  <c r="CZ29" i="71"/>
  <c r="CY29" i="71"/>
  <c r="CC29" i="71"/>
  <c r="CB29" i="71"/>
  <c r="BF29" i="71"/>
  <c r="BE29" i="71"/>
  <c r="BD29" i="71"/>
  <c r="BC29" i="71"/>
  <c r="AE29" i="71"/>
  <c r="AD29" i="71"/>
  <c r="AC29" i="71"/>
  <c r="AB29" i="71"/>
  <c r="AA29" i="71"/>
  <c r="DF28" i="71"/>
  <c r="DE28" i="71"/>
  <c r="DD28" i="71"/>
  <c r="DC28" i="71"/>
  <c r="DB28" i="71"/>
  <c r="DA28" i="71"/>
  <c r="CZ28" i="71"/>
  <c r="CY28" i="71"/>
  <c r="CC28" i="71"/>
  <c r="CB28" i="71"/>
  <c r="BF28" i="71"/>
  <c r="BE28" i="71"/>
  <c r="BD28" i="71"/>
  <c r="BC28" i="71"/>
  <c r="AE28" i="71"/>
  <c r="AD28" i="71"/>
  <c r="AC28" i="71"/>
  <c r="AB28" i="71"/>
  <c r="AA28" i="71"/>
  <c r="DF27" i="71"/>
  <c r="DE27" i="71"/>
  <c r="DD27" i="71"/>
  <c r="DC27" i="71"/>
  <c r="DB27" i="71"/>
  <c r="DA27" i="71"/>
  <c r="CZ27" i="71"/>
  <c r="CY27" i="71"/>
  <c r="CC27" i="71"/>
  <c r="CB27" i="71"/>
  <c r="BF27" i="71"/>
  <c r="BE27" i="71"/>
  <c r="BD27" i="71"/>
  <c r="BC27" i="71"/>
  <c r="AE27" i="71"/>
  <c r="AD27" i="71"/>
  <c r="AC27" i="71"/>
  <c r="AB27" i="71"/>
  <c r="AA27" i="71"/>
  <c r="DF26" i="71"/>
  <c r="DE26" i="71"/>
  <c r="DD26" i="71"/>
  <c r="DC26" i="71"/>
  <c r="DB26" i="71"/>
  <c r="DA26" i="71"/>
  <c r="CZ26" i="71"/>
  <c r="CY26" i="71"/>
  <c r="CC26" i="71"/>
  <c r="CB26" i="71"/>
  <c r="BF26" i="71"/>
  <c r="BE26" i="71"/>
  <c r="BD26" i="71"/>
  <c r="BC26" i="71"/>
  <c r="AE26" i="71"/>
  <c r="AD26" i="71"/>
  <c r="AC26" i="71"/>
  <c r="AB26" i="71"/>
  <c r="AA26" i="71"/>
  <c r="DF25" i="71"/>
  <c r="DE25" i="71"/>
  <c r="DD25" i="71"/>
  <c r="DC25" i="71"/>
  <c r="DB25" i="71"/>
  <c r="DA25" i="71"/>
  <c r="CZ25" i="71"/>
  <c r="CY25" i="71"/>
  <c r="CC25" i="71"/>
  <c r="CB25" i="71"/>
  <c r="BF25" i="71"/>
  <c r="BE25" i="71"/>
  <c r="BD25" i="71"/>
  <c r="BC25" i="71"/>
  <c r="AE25" i="71"/>
  <c r="AD25" i="71"/>
  <c r="AC25" i="71"/>
  <c r="AB25" i="71"/>
  <c r="AA25" i="71"/>
  <c r="DF24" i="71"/>
  <c r="DE24" i="71"/>
  <c r="DD24" i="71"/>
  <c r="DC24" i="71"/>
  <c r="DB24" i="71"/>
  <c r="DA24" i="71"/>
  <c r="CZ24" i="71"/>
  <c r="CY24" i="71"/>
  <c r="CC24" i="71"/>
  <c r="CB24" i="71"/>
  <c r="BF24" i="71"/>
  <c r="BE24" i="71"/>
  <c r="BD24" i="71"/>
  <c r="BC24" i="71"/>
  <c r="AE24" i="71"/>
  <c r="AD24" i="71"/>
  <c r="AC24" i="71"/>
  <c r="AB24" i="71"/>
  <c r="AA24" i="71"/>
  <c r="DF23" i="71"/>
  <c r="DE23" i="71"/>
  <c r="DD23" i="71"/>
  <c r="DC23" i="71"/>
  <c r="DB23" i="71"/>
  <c r="DA23" i="71"/>
  <c r="CZ23" i="71"/>
  <c r="CY23" i="71"/>
  <c r="CC23" i="71"/>
  <c r="CB23" i="71"/>
  <c r="BF23" i="71"/>
  <c r="BE23" i="71"/>
  <c r="BD23" i="71"/>
  <c r="BC23" i="71"/>
  <c r="AE23" i="71"/>
  <c r="AD23" i="71"/>
  <c r="AC23" i="71"/>
  <c r="AB23" i="71"/>
  <c r="AA23" i="71"/>
  <c r="DF22" i="71"/>
  <c r="DE22" i="71"/>
  <c r="DD22" i="71"/>
  <c r="DC22" i="71"/>
  <c r="DB22" i="71"/>
  <c r="DA22" i="71"/>
  <c r="CZ22" i="71"/>
  <c r="CY22" i="71"/>
  <c r="CC22" i="71"/>
  <c r="CB22" i="71"/>
  <c r="BF22" i="71"/>
  <c r="BE22" i="71"/>
  <c r="BD22" i="71"/>
  <c r="BC22" i="71"/>
  <c r="AE22" i="71"/>
  <c r="AD22" i="71"/>
  <c r="AC22" i="71"/>
  <c r="AB22" i="71"/>
  <c r="AA22" i="71"/>
  <c r="DF21" i="71"/>
  <c r="DE21" i="71"/>
  <c r="DD21" i="71"/>
  <c r="DC21" i="71"/>
  <c r="DB21" i="71"/>
  <c r="DA21" i="71"/>
  <c r="CZ21" i="71"/>
  <c r="CY21" i="71"/>
  <c r="CC21" i="71"/>
  <c r="CB21" i="71"/>
  <c r="BF21" i="71"/>
  <c r="BE21" i="71"/>
  <c r="BD21" i="71"/>
  <c r="BC21" i="71"/>
  <c r="AE21" i="71"/>
  <c r="AD21" i="71"/>
  <c r="AC21" i="71"/>
  <c r="AB21" i="71"/>
  <c r="AA21" i="71"/>
  <c r="DF20" i="71"/>
  <c r="DE20" i="71"/>
  <c r="DD20" i="71"/>
  <c r="DC20" i="71"/>
  <c r="DB20" i="71"/>
  <c r="DA20" i="71"/>
  <c r="CZ20" i="71"/>
  <c r="CY20" i="71"/>
  <c r="CC20" i="71"/>
  <c r="CB20" i="71"/>
  <c r="BF20" i="71"/>
  <c r="BE20" i="71"/>
  <c r="BD20" i="71"/>
  <c r="BC20" i="71"/>
  <c r="AE20" i="71"/>
  <c r="AD20" i="71"/>
  <c r="AC20" i="71"/>
  <c r="AB20" i="71"/>
  <c r="AA20" i="71"/>
  <c r="DF19" i="71"/>
  <c r="DE19" i="71"/>
  <c r="DD19" i="71"/>
  <c r="DC19" i="71"/>
  <c r="DB19" i="71"/>
  <c r="DA19" i="71"/>
  <c r="CZ19" i="71"/>
  <c r="CY19" i="71"/>
  <c r="CC19" i="71"/>
  <c r="CB19" i="71"/>
  <c r="BF19" i="71"/>
  <c r="BE19" i="71"/>
  <c r="BD19" i="71"/>
  <c r="BC19" i="71"/>
  <c r="AE19" i="71"/>
  <c r="AD19" i="71"/>
  <c r="AC19" i="71"/>
  <c r="AB19" i="71"/>
  <c r="AA19" i="71"/>
  <c r="DF18" i="71"/>
  <c r="DE18" i="71"/>
  <c r="DD18" i="71"/>
  <c r="DC18" i="71"/>
  <c r="DB18" i="71"/>
  <c r="DA18" i="71"/>
  <c r="CZ18" i="71"/>
  <c r="CY18" i="71"/>
  <c r="CC18" i="71"/>
  <c r="CB18" i="71"/>
  <c r="BF18" i="71"/>
  <c r="BE18" i="71"/>
  <c r="BD18" i="71"/>
  <c r="BC18" i="71"/>
  <c r="AE18" i="71"/>
  <c r="AD18" i="71"/>
  <c r="AC18" i="71"/>
  <c r="AB18" i="71"/>
  <c r="AA18" i="71"/>
  <c r="DF17" i="71"/>
  <c r="DE17" i="71"/>
  <c r="DD17" i="71"/>
  <c r="DC17" i="71"/>
  <c r="DB17" i="71"/>
  <c r="DA17" i="71"/>
  <c r="CZ17" i="71"/>
  <c r="CY17" i="71"/>
  <c r="CC17" i="71"/>
  <c r="CB17" i="71"/>
  <c r="BF17" i="71"/>
  <c r="BE17" i="71"/>
  <c r="BD17" i="71"/>
  <c r="BC17" i="71"/>
  <c r="AE17" i="71"/>
  <c r="AD17" i="71"/>
  <c r="AC17" i="71"/>
  <c r="AB17" i="71"/>
  <c r="AA17" i="71"/>
  <c r="DF16" i="71"/>
  <c r="DE16" i="71"/>
  <c r="DD16" i="71"/>
  <c r="DC16" i="71"/>
  <c r="DB16" i="71"/>
  <c r="DA16" i="71"/>
  <c r="CZ16" i="71"/>
  <c r="CY16" i="71"/>
  <c r="CC16" i="71"/>
  <c r="CB16" i="71"/>
  <c r="BF16" i="71"/>
  <c r="BE16" i="71"/>
  <c r="BD16" i="71"/>
  <c r="BC16" i="71"/>
  <c r="AE16" i="71"/>
  <c r="AD16" i="71"/>
  <c r="AC16" i="71"/>
  <c r="AB16" i="71"/>
  <c r="AA16" i="71"/>
  <c r="DF15" i="71"/>
  <c r="DE15" i="71"/>
  <c r="DD15" i="71"/>
  <c r="DC15" i="71"/>
  <c r="DB15" i="71"/>
  <c r="DA15" i="71"/>
  <c r="CZ15" i="71"/>
  <c r="CY15" i="71"/>
  <c r="CC15" i="71"/>
  <c r="CB15" i="71"/>
  <c r="BF15" i="71"/>
  <c r="BE15" i="71"/>
  <c r="BD15" i="71"/>
  <c r="BC15" i="71"/>
  <c r="AE15" i="71"/>
  <c r="AD15" i="71"/>
  <c r="AC15" i="71"/>
  <c r="AB15" i="71"/>
  <c r="AA15" i="71"/>
  <c r="DF14" i="71"/>
  <c r="DE14" i="71"/>
  <c r="DD14" i="71"/>
  <c r="DC14" i="71"/>
  <c r="DB14" i="71"/>
  <c r="DA14" i="71"/>
  <c r="CZ14" i="71"/>
  <c r="CY14" i="71"/>
  <c r="CC14" i="71"/>
  <c r="CB14" i="71"/>
  <c r="BF14" i="71"/>
  <c r="BE14" i="71"/>
  <c r="BD14" i="71"/>
  <c r="BC14" i="71"/>
  <c r="AE14" i="71"/>
  <c r="AD14" i="71"/>
  <c r="AC14" i="71"/>
  <c r="AB14" i="71"/>
  <c r="AA14" i="71"/>
  <c r="DF13" i="71"/>
  <c r="DE13" i="71"/>
  <c r="DD13" i="71"/>
  <c r="DC13" i="71"/>
  <c r="DB13" i="71"/>
  <c r="DA13" i="71"/>
  <c r="CZ13" i="71"/>
  <c r="CY13" i="71"/>
  <c r="CC13" i="71"/>
  <c r="CB13" i="71"/>
  <c r="BF13" i="71"/>
  <c r="BE13" i="71"/>
  <c r="BD13" i="71"/>
  <c r="BC13" i="71"/>
  <c r="AE13" i="71"/>
  <c r="AD13" i="71"/>
  <c r="AC13" i="71"/>
  <c r="AB13" i="71"/>
  <c r="AA13" i="71"/>
  <c r="DF12" i="71"/>
  <c r="DE12" i="71"/>
  <c r="DD12" i="71"/>
  <c r="DC12" i="71"/>
  <c r="DB12" i="71"/>
  <c r="DA12" i="71"/>
  <c r="CZ12" i="71"/>
  <c r="CY12" i="71"/>
  <c r="CC12" i="71"/>
  <c r="CB12" i="71"/>
  <c r="BF12" i="71"/>
  <c r="BE12" i="71"/>
  <c r="BD12" i="71"/>
  <c r="BC12" i="71"/>
  <c r="AE12" i="71"/>
  <c r="AD12" i="71"/>
  <c r="AC12" i="71"/>
  <c r="AB12" i="71"/>
  <c r="AA12" i="71"/>
  <c r="DF11" i="71"/>
  <c r="DE11" i="71"/>
  <c r="DD11" i="71"/>
  <c r="DC11" i="71"/>
  <c r="DB11" i="71"/>
  <c r="DA11" i="71"/>
  <c r="CZ11" i="71"/>
  <c r="CY11" i="71"/>
  <c r="CC11" i="71"/>
  <c r="CB11" i="71"/>
  <c r="BF11" i="71"/>
  <c r="BE11" i="71"/>
  <c r="BD11" i="71"/>
  <c r="BC11" i="71"/>
  <c r="AE11" i="71"/>
  <c r="AD11" i="71"/>
  <c r="AC11" i="71"/>
  <c r="AB11" i="71"/>
  <c r="AA11" i="71"/>
  <c r="DF10" i="71"/>
  <c r="DE10" i="71"/>
  <c r="DD10" i="71"/>
  <c r="DC10" i="71"/>
  <c r="DB10" i="71"/>
  <c r="DA10" i="71"/>
  <c r="CZ10" i="71"/>
  <c r="CY10" i="71"/>
  <c r="CC10" i="71"/>
  <c r="CB10" i="71"/>
  <c r="BF10" i="71"/>
  <c r="BE10" i="71"/>
  <c r="BD10" i="71"/>
  <c r="BC10" i="71"/>
  <c r="AE10" i="71"/>
  <c r="AD10" i="71"/>
  <c r="AC10" i="71"/>
  <c r="AB10" i="71"/>
  <c r="AA10" i="71"/>
  <c r="DF9" i="71"/>
  <c r="DE9" i="71"/>
  <c r="DD9" i="71"/>
  <c r="DC9" i="71"/>
  <c r="DB9" i="71"/>
  <c r="DA9" i="71"/>
  <c r="CZ9" i="71"/>
  <c r="CY9" i="71"/>
  <c r="CC9" i="71"/>
  <c r="CB9" i="71"/>
  <c r="BF9" i="71"/>
  <c r="BE9" i="71"/>
  <c r="BD9" i="71"/>
  <c r="BC9" i="71"/>
  <c r="AE9" i="71"/>
  <c r="AD9" i="71"/>
  <c r="AC9" i="71"/>
  <c r="AB9" i="71"/>
  <c r="AA9" i="71"/>
  <c r="A9" i="71"/>
  <c r="AO87" i="70"/>
  <c r="BL87" i="70" s="1"/>
  <c r="AO86" i="70"/>
  <c r="BL86" i="70" s="1"/>
  <c r="AO85" i="70"/>
  <c r="BL85" i="70" s="1"/>
  <c r="AO84" i="70"/>
  <c r="BL84" i="70" s="1"/>
  <c r="A50" i="70"/>
  <c r="A46" i="70"/>
  <c r="A45" i="70"/>
  <c r="A44" i="70"/>
  <c r="A43" i="70"/>
  <c r="A41" i="70"/>
  <c r="R39" i="70"/>
  <c r="T71" i="70" s="1"/>
  <c r="V42" i="70" s="1"/>
  <c r="DF38" i="70"/>
  <c r="DE38" i="70"/>
  <c r="DD38" i="70"/>
  <c r="DC38" i="70"/>
  <c r="DB38" i="70"/>
  <c r="DA38" i="70"/>
  <c r="CZ38" i="70"/>
  <c r="CY38" i="70"/>
  <c r="CC38" i="70"/>
  <c r="CB38" i="70"/>
  <c r="BF38" i="70"/>
  <c r="BE38" i="70"/>
  <c r="BD38" i="70"/>
  <c r="BC38" i="70"/>
  <c r="AE38" i="70"/>
  <c r="AD38" i="70"/>
  <c r="AC38" i="70"/>
  <c r="AB38" i="70"/>
  <c r="AA38" i="70"/>
  <c r="DF37" i="70"/>
  <c r="DE37" i="70"/>
  <c r="DD37" i="70"/>
  <c r="DC37" i="70"/>
  <c r="DB37" i="70"/>
  <c r="DA37" i="70"/>
  <c r="CZ37" i="70"/>
  <c r="CY37" i="70"/>
  <c r="CC37" i="70"/>
  <c r="CB37" i="70"/>
  <c r="BF37" i="70"/>
  <c r="BE37" i="70"/>
  <c r="BD37" i="70"/>
  <c r="BC37" i="70"/>
  <c r="AE37" i="70"/>
  <c r="AD37" i="70"/>
  <c r="AC37" i="70"/>
  <c r="AB37" i="70"/>
  <c r="AA37" i="70"/>
  <c r="DF36" i="70"/>
  <c r="DE36" i="70"/>
  <c r="DD36" i="70"/>
  <c r="DC36" i="70"/>
  <c r="DB36" i="70"/>
  <c r="DA36" i="70"/>
  <c r="CZ36" i="70"/>
  <c r="CY36" i="70"/>
  <c r="CC36" i="70"/>
  <c r="CB36" i="70"/>
  <c r="BF36" i="70"/>
  <c r="BE36" i="70"/>
  <c r="BD36" i="70"/>
  <c r="BC36" i="70"/>
  <c r="AE36" i="70"/>
  <c r="AD36" i="70"/>
  <c r="AC36" i="70"/>
  <c r="AB36" i="70"/>
  <c r="AA36" i="70"/>
  <c r="DF35" i="70"/>
  <c r="DE35" i="70"/>
  <c r="DD35" i="70"/>
  <c r="DC35" i="70"/>
  <c r="DB35" i="70"/>
  <c r="DA35" i="70"/>
  <c r="CZ35" i="70"/>
  <c r="CY35" i="70"/>
  <c r="CC35" i="70"/>
  <c r="CB35" i="70"/>
  <c r="BF35" i="70"/>
  <c r="BE35" i="70"/>
  <c r="BD35" i="70"/>
  <c r="BC35" i="70"/>
  <c r="AE35" i="70"/>
  <c r="AD35" i="70"/>
  <c r="AC35" i="70"/>
  <c r="AB35" i="70"/>
  <c r="AA35" i="70"/>
  <c r="DF34" i="70"/>
  <c r="DE34" i="70"/>
  <c r="DD34" i="70"/>
  <c r="DC34" i="70"/>
  <c r="DB34" i="70"/>
  <c r="DA34" i="70"/>
  <c r="CZ34" i="70"/>
  <c r="CY34" i="70"/>
  <c r="CC34" i="70"/>
  <c r="CB34" i="70"/>
  <c r="BF34" i="70"/>
  <c r="BE34" i="70"/>
  <c r="BD34" i="70"/>
  <c r="BC34" i="70"/>
  <c r="AE34" i="70"/>
  <c r="AD34" i="70"/>
  <c r="AC34" i="70"/>
  <c r="AB34" i="70"/>
  <c r="AA34" i="70"/>
  <c r="DF33" i="70"/>
  <c r="DE33" i="70"/>
  <c r="DD33" i="70"/>
  <c r="DC33" i="70"/>
  <c r="DB33" i="70"/>
  <c r="DA33" i="70"/>
  <c r="CZ33" i="70"/>
  <c r="CY33" i="70"/>
  <c r="CC33" i="70"/>
  <c r="CB33" i="70"/>
  <c r="BF33" i="70"/>
  <c r="BE33" i="70"/>
  <c r="BD33" i="70"/>
  <c r="BC33" i="70"/>
  <c r="AE33" i="70"/>
  <c r="AD33" i="70"/>
  <c r="AC33" i="70"/>
  <c r="AB33" i="70"/>
  <c r="AA33" i="70"/>
  <c r="DF32" i="70"/>
  <c r="DE32" i="70"/>
  <c r="DD32" i="70"/>
  <c r="DC32" i="70"/>
  <c r="DB32" i="70"/>
  <c r="DA32" i="70"/>
  <c r="CZ32" i="70"/>
  <c r="CY32" i="70"/>
  <c r="CC32" i="70"/>
  <c r="CB32" i="70"/>
  <c r="BF32" i="70"/>
  <c r="BE32" i="70"/>
  <c r="BD32" i="70"/>
  <c r="BC32" i="70"/>
  <c r="AE32" i="70"/>
  <c r="AD32" i="70"/>
  <c r="AC32" i="70"/>
  <c r="AB32" i="70"/>
  <c r="AA32" i="70"/>
  <c r="DF31" i="70"/>
  <c r="DE31" i="70"/>
  <c r="DD31" i="70"/>
  <c r="DC31" i="70"/>
  <c r="DB31" i="70"/>
  <c r="DA31" i="70"/>
  <c r="CZ31" i="70"/>
  <c r="CY31" i="70"/>
  <c r="CC31" i="70"/>
  <c r="CB31" i="70"/>
  <c r="BF31" i="70"/>
  <c r="BE31" i="70"/>
  <c r="BD31" i="70"/>
  <c r="BC31" i="70"/>
  <c r="AE31" i="70"/>
  <c r="AD31" i="70"/>
  <c r="AC31" i="70"/>
  <c r="AB31" i="70"/>
  <c r="AA31" i="70"/>
  <c r="DF30" i="70"/>
  <c r="DE30" i="70"/>
  <c r="DD30" i="70"/>
  <c r="DC30" i="70"/>
  <c r="DB30" i="70"/>
  <c r="DA30" i="70"/>
  <c r="CZ30" i="70"/>
  <c r="CY30" i="70"/>
  <c r="CC30" i="70"/>
  <c r="CB30" i="70"/>
  <c r="BF30" i="70"/>
  <c r="BE30" i="70"/>
  <c r="BD30" i="70"/>
  <c r="BC30" i="70"/>
  <c r="AE30" i="70"/>
  <c r="AD30" i="70"/>
  <c r="AC30" i="70"/>
  <c r="AB30" i="70"/>
  <c r="AA30" i="70"/>
  <c r="DF29" i="70"/>
  <c r="DE29" i="70"/>
  <c r="DD29" i="70"/>
  <c r="DC29" i="70"/>
  <c r="DB29" i="70"/>
  <c r="DA29" i="70"/>
  <c r="CZ29" i="70"/>
  <c r="CY29" i="70"/>
  <c r="CC29" i="70"/>
  <c r="CB29" i="70"/>
  <c r="BF29" i="70"/>
  <c r="BE29" i="70"/>
  <c r="BD29" i="70"/>
  <c r="BC29" i="70"/>
  <c r="AE29" i="70"/>
  <c r="AD29" i="70"/>
  <c r="AC29" i="70"/>
  <c r="AB29" i="70"/>
  <c r="AA29" i="70"/>
  <c r="DF28" i="70"/>
  <c r="DE28" i="70"/>
  <c r="DD28" i="70"/>
  <c r="DC28" i="70"/>
  <c r="DB28" i="70"/>
  <c r="DA28" i="70"/>
  <c r="CZ28" i="70"/>
  <c r="CY28" i="70"/>
  <c r="CC28" i="70"/>
  <c r="CB28" i="70"/>
  <c r="BF28" i="70"/>
  <c r="BE28" i="70"/>
  <c r="BD28" i="70"/>
  <c r="BC28" i="70"/>
  <c r="AE28" i="70"/>
  <c r="AD28" i="70"/>
  <c r="AC28" i="70"/>
  <c r="AB28" i="70"/>
  <c r="AA28" i="70"/>
  <c r="DF27" i="70"/>
  <c r="DE27" i="70"/>
  <c r="DD27" i="70"/>
  <c r="DC27" i="70"/>
  <c r="DB27" i="70"/>
  <c r="DA27" i="70"/>
  <c r="CZ27" i="70"/>
  <c r="CY27" i="70"/>
  <c r="CC27" i="70"/>
  <c r="CB27" i="70"/>
  <c r="BF27" i="70"/>
  <c r="BE27" i="70"/>
  <c r="BD27" i="70"/>
  <c r="BC27" i="70"/>
  <c r="AE27" i="70"/>
  <c r="AD27" i="70"/>
  <c r="AC27" i="70"/>
  <c r="AB27" i="70"/>
  <c r="AA27" i="70"/>
  <c r="DF26" i="70"/>
  <c r="DE26" i="70"/>
  <c r="DD26" i="70"/>
  <c r="DC26" i="70"/>
  <c r="DB26" i="70"/>
  <c r="DA26" i="70"/>
  <c r="CZ26" i="70"/>
  <c r="CY26" i="70"/>
  <c r="CC26" i="70"/>
  <c r="CB26" i="70"/>
  <c r="BF26" i="70"/>
  <c r="BE26" i="70"/>
  <c r="BD26" i="70"/>
  <c r="BC26" i="70"/>
  <c r="AE26" i="70"/>
  <c r="AD26" i="70"/>
  <c r="AC26" i="70"/>
  <c r="AB26" i="70"/>
  <c r="AA26" i="70"/>
  <c r="DF25" i="70"/>
  <c r="DE25" i="70"/>
  <c r="DD25" i="70"/>
  <c r="DC25" i="70"/>
  <c r="DB25" i="70"/>
  <c r="DA25" i="70"/>
  <c r="CZ25" i="70"/>
  <c r="CY25" i="70"/>
  <c r="CC25" i="70"/>
  <c r="CB25" i="70"/>
  <c r="BF25" i="70"/>
  <c r="BE25" i="70"/>
  <c r="BD25" i="70"/>
  <c r="BC25" i="70"/>
  <c r="AE25" i="70"/>
  <c r="AD25" i="70"/>
  <c r="AC25" i="70"/>
  <c r="AB25" i="70"/>
  <c r="AA25" i="70"/>
  <c r="DF24" i="70"/>
  <c r="DE24" i="70"/>
  <c r="DD24" i="70"/>
  <c r="DC24" i="70"/>
  <c r="DB24" i="70"/>
  <c r="DA24" i="70"/>
  <c r="CZ24" i="70"/>
  <c r="CY24" i="70"/>
  <c r="CC24" i="70"/>
  <c r="CB24" i="70"/>
  <c r="BF24" i="70"/>
  <c r="BE24" i="70"/>
  <c r="BD24" i="70"/>
  <c r="BC24" i="70"/>
  <c r="AE24" i="70"/>
  <c r="AD24" i="70"/>
  <c r="AC24" i="70"/>
  <c r="AB24" i="70"/>
  <c r="AA24" i="70"/>
  <c r="DF23" i="70"/>
  <c r="DE23" i="70"/>
  <c r="DD23" i="70"/>
  <c r="DC23" i="70"/>
  <c r="DB23" i="70"/>
  <c r="DA23" i="70"/>
  <c r="CZ23" i="70"/>
  <c r="CY23" i="70"/>
  <c r="CC23" i="70"/>
  <c r="CB23" i="70"/>
  <c r="BF23" i="70"/>
  <c r="BE23" i="70"/>
  <c r="BD23" i="70"/>
  <c r="BC23" i="70"/>
  <c r="AE23" i="70"/>
  <c r="AD23" i="70"/>
  <c r="AC23" i="70"/>
  <c r="AB23" i="70"/>
  <c r="AA23" i="70"/>
  <c r="DF22" i="70"/>
  <c r="DE22" i="70"/>
  <c r="DD22" i="70"/>
  <c r="DC22" i="70"/>
  <c r="DB22" i="70"/>
  <c r="DA22" i="70"/>
  <c r="CZ22" i="70"/>
  <c r="CY22" i="70"/>
  <c r="CC22" i="70"/>
  <c r="CB22" i="70"/>
  <c r="BF22" i="70"/>
  <c r="BE22" i="70"/>
  <c r="BD22" i="70"/>
  <c r="BC22" i="70"/>
  <c r="AE22" i="70"/>
  <c r="AD22" i="70"/>
  <c r="AC22" i="70"/>
  <c r="AB22" i="70"/>
  <c r="AA22" i="70"/>
  <c r="DF21" i="70"/>
  <c r="DE21" i="70"/>
  <c r="DD21" i="70"/>
  <c r="DC21" i="70"/>
  <c r="DB21" i="70"/>
  <c r="DA21" i="70"/>
  <c r="CZ21" i="70"/>
  <c r="CY21" i="70"/>
  <c r="CC21" i="70"/>
  <c r="CB21" i="70"/>
  <c r="BF21" i="70"/>
  <c r="BE21" i="70"/>
  <c r="BD21" i="70"/>
  <c r="BC21" i="70"/>
  <c r="AE21" i="70"/>
  <c r="AD21" i="70"/>
  <c r="AC21" i="70"/>
  <c r="AB21" i="70"/>
  <c r="AA21" i="70"/>
  <c r="DF20" i="70"/>
  <c r="DE20" i="70"/>
  <c r="DD20" i="70"/>
  <c r="DC20" i="70"/>
  <c r="DB20" i="70"/>
  <c r="DA20" i="70"/>
  <c r="CZ20" i="70"/>
  <c r="CY20" i="70"/>
  <c r="CC20" i="70"/>
  <c r="CB20" i="70"/>
  <c r="BF20" i="70"/>
  <c r="BE20" i="70"/>
  <c r="BD20" i="70"/>
  <c r="BC20" i="70"/>
  <c r="AE20" i="70"/>
  <c r="AD20" i="70"/>
  <c r="AC20" i="70"/>
  <c r="AB20" i="70"/>
  <c r="AA20" i="70"/>
  <c r="DF19" i="70"/>
  <c r="DE19" i="70"/>
  <c r="DD19" i="70"/>
  <c r="DC19" i="70"/>
  <c r="DB19" i="70"/>
  <c r="DA19" i="70"/>
  <c r="CZ19" i="70"/>
  <c r="CY19" i="70"/>
  <c r="CC19" i="70"/>
  <c r="CB19" i="70"/>
  <c r="BF19" i="70"/>
  <c r="BE19" i="70"/>
  <c r="BD19" i="70"/>
  <c r="BC19" i="70"/>
  <c r="AE19" i="70"/>
  <c r="AD19" i="70"/>
  <c r="AC19" i="70"/>
  <c r="AB19" i="70"/>
  <c r="AA19" i="70"/>
  <c r="DF18" i="70"/>
  <c r="DE18" i="70"/>
  <c r="DD18" i="70"/>
  <c r="DC18" i="70"/>
  <c r="DB18" i="70"/>
  <c r="DA18" i="70"/>
  <c r="CZ18" i="70"/>
  <c r="CY18" i="70"/>
  <c r="CC18" i="70"/>
  <c r="CB18" i="70"/>
  <c r="BF18" i="70"/>
  <c r="BE18" i="70"/>
  <c r="BD18" i="70"/>
  <c r="BC18" i="70"/>
  <c r="AE18" i="70"/>
  <c r="AD18" i="70"/>
  <c r="AC18" i="70"/>
  <c r="AB18" i="70"/>
  <c r="AA18" i="70"/>
  <c r="DF17" i="70"/>
  <c r="DE17" i="70"/>
  <c r="DD17" i="70"/>
  <c r="DC17" i="70"/>
  <c r="DB17" i="70"/>
  <c r="DA17" i="70"/>
  <c r="CZ17" i="70"/>
  <c r="CY17" i="70"/>
  <c r="CC17" i="70"/>
  <c r="CB17" i="70"/>
  <c r="BF17" i="70"/>
  <c r="BE17" i="70"/>
  <c r="BD17" i="70"/>
  <c r="BC17" i="70"/>
  <c r="AE17" i="70"/>
  <c r="AD17" i="70"/>
  <c r="AC17" i="70"/>
  <c r="AB17" i="70"/>
  <c r="AA17" i="70"/>
  <c r="DF16" i="70"/>
  <c r="DE16" i="70"/>
  <c r="DD16" i="70"/>
  <c r="DC16" i="70"/>
  <c r="DB16" i="70"/>
  <c r="DA16" i="70"/>
  <c r="CZ16" i="70"/>
  <c r="CY16" i="70"/>
  <c r="CC16" i="70"/>
  <c r="CB16" i="70"/>
  <c r="BF16" i="70"/>
  <c r="BE16" i="70"/>
  <c r="BD16" i="70"/>
  <c r="BC16" i="70"/>
  <c r="AE16" i="70"/>
  <c r="AD16" i="70"/>
  <c r="AC16" i="70"/>
  <c r="AB16" i="70"/>
  <c r="AA16" i="70"/>
  <c r="DF15" i="70"/>
  <c r="DE15" i="70"/>
  <c r="DD15" i="70"/>
  <c r="DC15" i="70"/>
  <c r="DB15" i="70"/>
  <c r="DA15" i="70"/>
  <c r="CZ15" i="70"/>
  <c r="CY15" i="70"/>
  <c r="CC15" i="70"/>
  <c r="CB15" i="70"/>
  <c r="BF15" i="70"/>
  <c r="BE15" i="70"/>
  <c r="BD15" i="70"/>
  <c r="BC15" i="70"/>
  <c r="AE15" i="70"/>
  <c r="AD15" i="70"/>
  <c r="AC15" i="70"/>
  <c r="AB15" i="70"/>
  <c r="AA15" i="70"/>
  <c r="DF14" i="70"/>
  <c r="DE14" i="70"/>
  <c r="DD14" i="70"/>
  <c r="DC14" i="70"/>
  <c r="DB14" i="70"/>
  <c r="DA14" i="70"/>
  <c r="CZ14" i="70"/>
  <c r="CY14" i="70"/>
  <c r="CC14" i="70"/>
  <c r="CB14" i="70"/>
  <c r="BF14" i="70"/>
  <c r="BE14" i="70"/>
  <c r="BD14" i="70"/>
  <c r="BC14" i="70"/>
  <c r="AE14" i="70"/>
  <c r="AD14" i="70"/>
  <c r="AC14" i="70"/>
  <c r="AB14" i="70"/>
  <c r="AA14" i="70"/>
  <c r="DF13" i="70"/>
  <c r="DE13" i="70"/>
  <c r="DD13" i="70"/>
  <c r="DC13" i="70"/>
  <c r="DB13" i="70"/>
  <c r="DA13" i="70"/>
  <c r="CZ13" i="70"/>
  <c r="CY13" i="70"/>
  <c r="CC13" i="70"/>
  <c r="CB13" i="70"/>
  <c r="BF13" i="70"/>
  <c r="BE13" i="70"/>
  <c r="BD13" i="70"/>
  <c r="BC13" i="70"/>
  <c r="AE13" i="70"/>
  <c r="AD13" i="70"/>
  <c r="AC13" i="70"/>
  <c r="AB13" i="70"/>
  <c r="AA13" i="70"/>
  <c r="DF12" i="70"/>
  <c r="DE12" i="70"/>
  <c r="DD12" i="70"/>
  <c r="DC12" i="70"/>
  <c r="DB12" i="70"/>
  <c r="DA12" i="70"/>
  <c r="CZ12" i="70"/>
  <c r="CY12" i="70"/>
  <c r="CC12" i="70"/>
  <c r="CB12" i="70"/>
  <c r="BF12" i="70"/>
  <c r="BE12" i="70"/>
  <c r="BD12" i="70"/>
  <c r="BC12" i="70"/>
  <c r="AE12" i="70"/>
  <c r="AD12" i="70"/>
  <c r="AC12" i="70"/>
  <c r="AB12" i="70"/>
  <c r="AA12" i="70"/>
  <c r="DF11" i="70"/>
  <c r="DE11" i="70"/>
  <c r="DD11" i="70"/>
  <c r="DC11" i="70"/>
  <c r="DB11" i="70"/>
  <c r="DA11" i="70"/>
  <c r="CZ11" i="70"/>
  <c r="CY11" i="70"/>
  <c r="CC11" i="70"/>
  <c r="CB11" i="70"/>
  <c r="BF11" i="70"/>
  <c r="BE11" i="70"/>
  <c r="BD11" i="70"/>
  <c r="BC11" i="70"/>
  <c r="AE11" i="70"/>
  <c r="AD11" i="70"/>
  <c r="AC11" i="70"/>
  <c r="AB11" i="70"/>
  <c r="AA11" i="70"/>
  <c r="DF10" i="70"/>
  <c r="DE10" i="70"/>
  <c r="DD10" i="70"/>
  <c r="DC10" i="70"/>
  <c r="DB10" i="70"/>
  <c r="DA10" i="70"/>
  <c r="CZ10" i="70"/>
  <c r="CY10" i="70"/>
  <c r="CC10" i="70"/>
  <c r="CB10" i="70"/>
  <c r="BF10" i="70"/>
  <c r="BE10" i="70"/>
  <c r="BD10" i="70"/>
  <c r="BC10" i="70"/>
  <c r="AE10" i="70"/>
  <c r="AD10" i="70"/>
  <c r="AC10" i="70"/>
  <c r="AB10" i="70"/>
  <c r="AA10" i="70"/>
  <c r="DF9" i="70"/>
  <c r="DE9" i="70"/>
  <c r="DD9" i="70"/>
  <c r="DC9" i="70"/>
  <c r="DB9" i="70"/>
  <c r="DA9" i="70"/>
  <c r="CZ9" i="70"/>
  <c r="CY9" i="70"/>
  <c r="CC9" i="70"/>
  <c r="CB9" i="70"/>
  <c r="BF9" i="70"/>
  <c r="BE9" i="70"/>
  <c r="BD9" i="70"/>
  <c r="BC9" i="70"/>
  <c r="AE9" i="70"/>
  <c r="AD9" i="70"/>
  <c r="AC9" i="70"/>
  <c r="AB9" i="70"/>
  <c r="AA9" i="70"/>
  <c r="A9" i="70"/>
  <c r="AO88" i="69"/>
  <c r="BL88" i="69" s="1"/>
  <c r="AO87" i="69"/>
  <c r="BL87" i="69" s="1"/>
  <c r="AO86" i="69"/>
  <c r="BL86" i="69" s="1"/>
  <c r="AO85" i="69"/>
  <c r="BL85" i="69" s="1"/>
  <c r="A51" i="69"/>
  <c r="A47" i="69"/>
  <c r="A46" i="69"/>
  <c r="A45" i="69"/>
  <c r="A44" i="69"/>
  <c r="A42" i="69"/>
  <c r="R40" i="69"/>
  <c r="T72" i="69" s="1"/>
  <c r="V43" i="69" s="1"/>
  <c r="DF39" i="69"/>
  <c r="DE39" i="69"/>
  <c r="DD39" i="69"/>
  <c r="DC39" i="69"/>
  <c r="DB39" i="69"/>
  <c r="DA39" i="69"/>
  <c r="CZ39" i="69"/>
  <c r="CY39" i="69"/>
  <c r="CC39" i="69"/>
  <c r="CB39" i="69"/>
  <c r="BF39" i="69"/>
  <c r="BE39" i="69"/>
  <c r="BD39" i="69"/>
  <c r="BC39" i="69"/>
  <c r="AE39" i="69"/>
  <c r="AD39" i="69"/>
  <c r="AC39" i="69"/>
  <c r="AB39" i="69"/>
  <c r="AA39" i="69"/>
  <c r="DF38" i="69"/>
  <c r="DE38" i="69"/>
  <c r="DD38" i="69"/>
  <c r="DC38" i="69"/>
  <c r="DB38" i="69"/>
  <c r="DA38" i="69"/>
  <c r="CZ38" i="69"/>
  <c r="CY38" i="69"/>
  <c r="CC38" i="69"/>
  <c r="CB38" i="69"/>
  <c r="BF38" i="69"/>
  <c r="BE38" i="69"/>
  <c r="BD38" i="69"/>
  <c r="BC38" i="69"/>
  <c r="AE38" i="69"/>
  <c r="AD38" i="69"/>
  <c r="AC38" i="69"/>
  <c r="AB38" i="69"/>
  <c r="AA38" i="69"/>
  <c r="DF37" i="69"/>
  <c r="DE37" i="69"/>
  <c r="DD37" i="69"/>
  <c r="DC37" i="69"/>
  <c r="DB37" i="69"/>
  <c r="DA37" i="69"/>
  <c r="CZ37" i="69"/>
  <c r="CY37" i="69"/>
  <c r="CC37" i="69"/>
  <c r="CB37" i="69"/>
  <c r="BF37" i="69"/>
  <c r="BE37" i="69"/>
  <c r="BD37" i="69"/>
  <c r="BC37" i="69"/>
  <c r="AE37" i="69"/>
  <c r="AD37" i="69"/>
  <c r="AC37" i="69"/>
  <c r="AB37" i="69"/>
  <c r="AA37" i="69"/>
  <c r="DF36" i="69"/>
  <c r="DE36" i="69"/>
  <c r="DD36" i="69"/>
  <c r="DC36" i="69"/>
  <c r="DB36" i="69"/>
  <c r="DA36" i="69"/>
  <c r="CZ36" i="69"/>
  <c r="CY36" i="69"/>
  <c r="CC36" i="69"/>
  <c r="CB36" i="69"/>
  <c r="BF36" i="69"/>
  <c r="BE36" i="69"/>
  <c r="BD36" i="69"/>
  <c r="BC36" i="69"/>
  <c r="AE36" i="69"/>
  <c r="AD36" i="69"/>
  <c r="AC36" i="69"/>
  <c r="AB36" i="69"/>
  <c r="AA36" i="69"/>
  <c r="DF35" i="69"/>
  <c r="DE35" i="69"/>
  <c r="DD35" i="69"/>
  <c r="DC35" i="69"/>
  <c r="DB35" i="69"/>
  <c r="DA35" i="69"/>
  <c r="CZ35" i="69"/>
  <c r="CY35" i="69"/>
  <c r="CC35" i="69"/>
  <c r="CB35" i="69"/>
  <c r="BF35" i="69"/>
  <c r="BE35" i="69"/>
  <c r="BD35" i="69"/>
  <c r="BC35" i="69"/>
  <c r="AE35" i="69"/>
  <c r="AD35" i="69"/>
  <c r="AC35" i="69"/>
  <c r="AB35" i="69"/>
  <c r="AA35" i="69"/>
  <c r="DF34" i="69"/>
  <c r="DE34" i="69"/>
  <c r="DD34" i="69"/>
  <c r="DC34" i="69"/>
  <c r="DB34" i="69"/>
  <c r="DA34" i="69"/>
  <c r="CZ34" i="69"/>
  <c r="CY34" i="69"/>
  <c r="CC34" i="69"/>
  <c r="CB34" i="69"/>
  <c r="BF34" i="69"/>
  <c r="BE34" i="69"/>
  <c r="BD34" i="69"/>
  <c r="BC34" i="69"/>
  <c r="AE34" i="69"/>
  <c r="AD34" i="69"/>
  <c r="AC34" i="69"/>
  <c r="AB34" i="69"/>
  <c r="AA34" i="69"/>
  <c r="DF33" i="69"/>
  <c r="DE33" i="69"/>
  <c r="DD33" i="69"/>
  <c r="DC33" i="69"/>
  <c r="DB33" i="69"/>
  <c r="DA33" i="69"/>
  <c r="CZ33" i="69"/>
  <c r="CY33" i="69"/>
  <c r="CC33" i="69"/>
  <c r="CB33" i="69"/>
  <c r="BF33" i="69"/>
  <c r="BE33" i="69"/>
  <c r="BD33" i="69"/>
  <c r="BC33" i="69"/>
  <c r="AE33" i="69"/>
  <c r="AD33" i="69"/>
  <c r="AC33" i="69"/>
  <c r="AB33" i="69"/>
  <c r="AA33" i="69"/>
  <c r="DF32" i="69"/>
  <c r="DE32" i="69"/>
  <c r="DD32" i="69"/>
  <c r="DC32" i="69"/>
  <c r="DB32" i="69"/>
  <c r="DA32" i="69"/>
  <c r="CZ32" i="69"/>
  <c r="CY32" i="69"/>
  <c r="CC32" i="69"/>
  <c r="CB32" i="69"/>
  <c r="BF32" i="69"/>
  <c r="BE32" i="69"/>
  <c r="BD32" i="69"/>
  <c r="BC32" i="69"/>
  <c r="AE32" i="69"/>
  <c r="AD32" i="69"/>
  <c r="AC32" i="69"/>
  <c r="AB32" i="69"/>
  <c r="AA32" i="69"/>
  <c r="DF31" i="69"/>
  <c r="DE31" i="69"/>
  <c r="DD31" i="69"/>
  <c r="DC31" i="69"/>
  <c r="DB31" i="69"/>
  <c r="DA31" i="69"/>
  <c r="CZ31" i="69"/>
  <c r="CY31" i="69"/>
  <c r="CC31" i="69"/>
  <c r="CB31" i="69"/>
  <c r="BF31" i="69"/>
  <c r="BE31" i="69"/>
  <c r="BD31" i="69"/>
  <c r="BC31" i="69"/>
  <c r="AE31" i="69"/>
  <c r="AD31" i="69"/>
  <c r="AC31" i="69"/>
  <c r="AB31" i="69"/>
  <c r="AA31" i="69"/>
  <c r="DF30" i="69"/>
  <c r="DE30" i="69"/>
  <c r="DD30" i="69"/>
  <c r="DC30" i="69"/>
  <c r="DB30" i="69"/>
  <c r="DA30" i="69"/>
  <c r="CZ30" i="69"/>
  <c r="CY30" i="69"/>
  <c r="CC30" i="69"/>
  <c r="CB30" i="69"/>
  <c r="BF30" i="69"/>
  <c r="BE30" i="69"/>
  <c r="BD30" i="69"/>
  <c r="BC30" i="69"/>
  <c r="AE30" i="69"/>
  <c r="AD30" i="69"/>
  <c r="AC30" i="69"/>
  <c r="AB30" i="69"/>
  <c r="AA30" i="69"/>
  <c r="DF29" i="69"/>
  <c r="DE29" i="69"/>
  <c r="DD29" i="69"/>
  <c r="DC29" i="69"/>
  <c r="DB29" i="69"/>
  <c r="DA29" i="69"/>
  <c r="CZ29" i="69"/>
  <c r="CY29" i="69"/>
  <c r="CC29" i="69"/>
  <c r="CB29" i="69"/>
  <c r="BF29" i="69"/>
  <c r="BE29" i="69"/>
  <c r="BD29" i="69"/>
  <c r="BC29" i="69"/>
  <c r="AE29" i="69"/>
  <c r="AD29" i="69"/>
  <c r="AC29" i="69"/>
  <c r="AB29" i="69"/>
  <c r="AA29" i="69"/>
  <c r="DF28" i="69"/>
  <c r="DE28" i="69"/>
  <c r="DD28" i="69"/>
  <c r="DC28" i="69"/>
  <c r="DB28" i="69"/>
  <c r="DA28" i="69"/>
  <c r="CZ28" i="69"/>
  <c r="CY28" i="69"/>
  <c r="CC28" i="69"/>
  <c r="CB28" i="69"/>
  <c r="BF28" i="69"/>
  <c r="BE28" i="69"/>
  <c r="BD28" i="69"/>
  <c r="BC28" i="69"/>
  <c r="AE28" i="69"/>
  <c r="AD28" i="69"/>
  <c r="AC28" i="69"/>
  <c r="AB28" i="69"/>
  <c r="AA28" i="69"/>
  <c r="DF27" i="69"/>
  <c r="DE27" i="69"/>
  <c r="DD27" i="69"/>
  <c r="DC27" i="69"/>
  <c r="DB27" i="69"/>
  <c r="DA27" i="69"/>
  <c r="CZ27" i="69"/>
  <c r="CY27" i="69"/>
  <c r="CC27" i="69"/>
  <c r="CB27" i="69"/>
  <c r="BF27" i="69"/>
  <c r="BE27" i="69"/>
  <c r="BD27" i="69"/>
  <c r="BC27" i="69"/>
  <c r="AE27" i="69"/>
  <c r="AD27" i="69"/>
  <c r="AC27" i="69"/>
  <c r="AB27" i="69"/>
  <c r="AA27" i="69"/>
  <c r="DF26" i="69"/>
  <c r="DE26" i="69"/>
  <c r="DD26" i="69"/>
  <c r="DC26" i="69"/>
  <c r="DB26" i="69"/>
  <c r="DA26" i="69"/>
  <c r="CZ26" i="69"/>
  <c r="CY26" i="69"/>
  <c r="CC26" i="69"/>
  <c r="CB26" i="69"/>
  <c r="BF26" i="69"/>
  <c r="BE26" i="69"/>
  <c r="BD26" i="69"/>
  <c r="BC26" i="69"/>
  <c r="AE26" i="69"/>
  <c r="AD26" i="69"/>
  <c r="AC26" i="69"/>
  <c r="AB26" i="69"/>
  <c r="AA26" i="69"/>
  <c r="DF25" i="69"/>
  <c r="DE25" i="69"/>
  <c r="DD25" i="69"/>
  <c r="DC25" i="69"/>
  <c r="DB25" i="69"/>
  <c r="DA25" i="69"/>
  <c r="CZ25" i="69"/>
  <c r="CY25" i="69"/>
  <c r="CC25" i="69"/>
  <c r="CB25" i="69"/>
  <c r="BF25" i="69"/>
  <c r="BE25" i="69"/>
  <c r="BD25" i="69"/>
  <c r="BC25" i="69"/>
  <c r="AE25" i="69"/>
  <c r="AD25" i="69"/>
  <c r="AC25" i="69"/>
  <c r="AB25" i="69"/>
  <c r="AA25" i="69"/>
  <c r="DF24" i="69"/>
  <c r="DE24" i="69"/>
  <c r="DD24" i="69"/>
  <c r="DC24" i="69"/>
  <c r="DB24" i="69"/>
  <c r="DA24" i="69"/>
  <c r="CZ24" i="69"/>
  <c r="CY24" i="69"/>
  <c r="CC24" i="69"/>
  <c r="CB24" i="69"/>
  <c r="BF24" i="69"/>
  <c r="BE24" i="69"/>
  <c r="BD24" i="69"/>
  <c r="BC24" i="69"/>
  <c r="AE24" i="69"/>
  <c r="AD24" i="69"/>
  <c r="AC24" i="69"/>
  <c r="AB24" i="69"/>
  <c r="AA24" i="69"/>
  <c r="DF23" i="69"/>
  <c r="DE23" i="69"/>
  <c r="DD23" i="69"/>
  <c r="DC23" i="69"/>
  <c r="DB23" i="69"/>
  <c r="DA23" i="69"/>
  <c r="CZ23" i="69"/>
  <c r="CY23" i="69"/>
  <c r="CC23" i="69"/>
  <c r="CB23" i="69"/>
  <c r="BF23" i="69"/>
  <c r="BE23" i="69"/>
  <c r="BD23" i="69"/>
  <c r="BC23" i="69"/>
  <c r="AE23" i="69"/>
  <c r="AD23" i="69"/>
  <c r="AC23" i="69"/>
  <c r="AB23" i="69"/>
  <c r="AA23" i="69"/>
  <c r="DF22" i="69"/>
  <c r="DE22" i="69"/>
  <c r="DD22" i="69"/>
  <c r="DC22" i="69"/>
  <c r="DB22" i="69"/>
  <c r="DA22" i="69"/>
  <c r="CZ22" i="69"/>
  <c r="CY22" i="69"/>
  <c r="CC22" i="69"/>
  <c r="CB22" i="69"/>
  <c r="BF22" i="69"/>
  <c r="BE22" i="69"/>
  <c r="BD22" i="69"/>
  <c r="BC22" i="69"/>
  <c r="AE22" i="69"/>
  <c r="AD22" i="69"/>
  <c r="AC22" i="69"/>
  <c r="AB22" i="69"/>
  <c r="AA22" i="69"/>
  <c r="DF21" i="69"/>
  <c r="DE21" i="69"/>
  <c r="DD21" i="69"/>
  <c r="DC21" i="69"/>
  <c r="DB21" i="69"/>
  <c r="DA21" i="69"/>
  <c r="CZ21" i="69"/>
  <c r="CY21" i="69"/>
  <c r="CC21" i="69"/>
  <c r="CB21" i="69"/>
  <c r="BF21" i="69"/>
  <c r="BE21" i="69"/>
  <c r="BD21" i="69"/>
  <c r="BC21" i="69"/>
  <c r="AE21" i="69"/>
  <c r="AD21" i="69"/>
  <c r="AC21" i="69"/>
  <c r="AB21" i="69"/>
  <c r="AA21" i="69"/>
  <c r="DF20" i="69"/>
  <c r="DE20" i="69"/>
  <c r="DD20" i="69"/>
  <c r="DC20" i="69"/>
  <c r="DB20" i="69"/>
  <c r="DA20" i="69"/>
  <c r="CZ20" i="69"/>
  <c r="CY20" i="69"/>
  <c r="CC20" i="69"/>
  <c r="CB20" i="69"/>
  <c r="BF20" i="69"/>
  <c r="BE20" i="69"/>
  <c r="BD20" i="69"/>
  <c r="BC20" i="69"/>
  <c r="AE20" i="69"/>
  <c r="AD20" i="69"/>
  <c r="AC20" i="69"/>
  <c r="AB20" i="69"/>
  <c r="AA20" i="69"/>
  <c r="DF19" i="69"/>
  <c r="DE19" i="69"/>
  <c r="DD19" i="69"/>
  <c r="DC19" i="69"/>
  <c r="DB19" i="69"/>
  <c r="DA19" i="69"/>
  <c r="CZ19" i="69"/>
  <c r="CY19" i="69"/>
  <c r="CC19" i="69"/>
  <c r="CB19" i="69"/>
  <c r="BF19" i="69"/>
  <c r="BE19" i="69"/>
  <c r="BD19" i="69"/>
  <c r="BC19" i="69"/>
  <c r="AE19" i="69"/>
  <c r="AD19" i="69"/>
  <c r="AC19" i="69"/>
  <c r="AB19" i="69"/>
  <c r="AA19" i="69"/>
  <c r="DF18" i="69"/>
  <c r="DE18" i="69"/>
  <c r="DD18" i="69"/>
  <c r="DC18" i="69"/>
  <c r="DB18" i="69"/>
  <c r="DA18" i="69"/>
  <c r="CZ18" i="69"/>
  <c r="CY18" i="69"/>
  <c r="CC18" i="69"/>
  <c r="CB18" i="69"/>
  <c r="BF18" i="69"/>
  <c r="BE18" i="69"/>
  <c r="BD18" i="69"/>
  <c r="BC18" i="69"/>
  <c r="AE18" i="69"/>
  <c r="AD18" i="69"/>
  <c r="AC18" i="69"/>
  <c r="AB18" i="69"/>
  <c r="AA18" i="69"/>
  <c r="DF17" i="69"/>
  <c r="DE17" i="69"/>
  <c r="DD17" i="69"/>
  <c r="DC17" i="69"/>
  <c r="DB17" i="69"/>
  <c r="DA17" i="69"/>
  <c r="CZ17" i="69"/>
  <c r="CY17" i="69"/>
  <c r="CC17" i="69"/>
  <c r="CB17" i="69"/>
  <c r="BF17" i="69"/>
  <c r="BE17" i="69"/>
  <c r="BD17" i="69"/>
  <c r="BC17" i="69"/>
  <c r="AE17" i="69"/>
  <c r="AD17" i="69"/>
  <c r="AC17" i="69"/>
  <c r="AB17" i="69"/>
  <c r="AA17" i="69"/>
  <c r="DF16" i="69"/>
  <c r="DE16" i="69"/>
  <c r="DD16" i="69"/>
  <c r="DC16" i="69"/>
  <c r="DB16" i="69"/>
  <c r="DA16" i="69"/>
  <c r="CZ16" i="69"/>
  <c r="CY16" i="69"/>
  <c r="CC16" i="69"/>
  <c r="CB16" i="69"/>
  <c r="BF16" i="69"/>
  <c r="BE16" i="69"/>
  <c r="BD16" i="69"/>
  <c r="BC16" i="69"/>
  <c r="AE16" i="69"/>
  <c r="AD16" i="69"/>
  <c r="AC16" i="69"/>
  <c r="AB16" i="69"/>
  <c r="AA16" i="69"/>
  <c r="DF15" i="69"/>
  <c r="DE15" i="69"/>
  <c r="DD15" i="69"/>
  <c r="DC15" i="69"/>
  <c r="DB15" i="69"/>
  <c r="DA15" i="69"/>
  <c r="CZ15" i="69"/>
  <c r="CY15" i="69"/>
  <c r="CC15" i="69"/>
  <c r="CB15" i="69"/>
  <c r="BF15" i="69"/>
  <c r="BE15" i="69"/>
  <c r="BD15" i="69"/>
  <c r="BC15" i="69"/>
  <c r="AE15" i="69"/>
  <c r="AD15" i="69"/>
  <c r="AC15" i="69"/>
  <c r="AB15" i="69"/>
  <c r="AA15" i="69"/>
  <c r="DF14" i="69"/>
  <c r="DE14" i="69"/>
  <c r="DD14" i="69"/>
  <c r="DC14" i="69"/>
  <c r="DB14" i="69"/>
  <c r="DA14" i="69"/>
  <c r="CZ14" i="69"/>
  <c r="CY14" i="69"/>
  <c r="CC14" i="69"/>
  <c r="CB14" i="69"/>
  <c r="BF14" i="69"/>
  <c r="BE14" i="69"/>
  <c r="BD14" i="69"/>
  <c r="BC14" i="69"/>
  <c r="AE14" i="69"/>
  <c r="AD14" i="69"/>
  <c r="AC14" i="69"/>
  <c r="AB14" i="69"/>
  <c r="AA14" i="69"/>
  <c r="DF13" i="69"/>
  <c r="DE13" i="69"/>
  <c r="DD13" i="69"/>
  <c r="DC13" i="69"/>
  <c r="DB13" i="69"/>
  <c r="DA13" i="69"/>
  <c r="CZ13" i="69"/>
  <c r="CY13" i="69"/>
  <c r="CC13" i="69"/>
  <c r="CB13" i="69"/>
  <c r="BF13" i="69"/>
  <c r="BE13" i="69"/>
  <c r="BD13" i="69"/>
  <c r="BC13" i="69"/>
  <c r="AE13" i="69"/>
  <c r="AD13" i="69"/>
  <c r="AC13" i="69"/>
  <c r="AB13" i="69"/>
  <c r="AA13" i="69"/>
  <c r="DF12" i="69"/>
  <c r="DE12" i="69"/>
  <c r="DD12" i="69"/>
  <c r="DC12" i="69"/>
  <c r="DB12" i="69"/>
  <c r="DA12" i="69"/>
  <c r="CZ12" i="69"/>
  <c r="CY12" i="69"/>
  <c r="CC12" i="69"/>
  <c r="CB12" i="69"/>
  <c r="BF12" i="69"/>
  <c r="BE12" i="69"/>
  <c r="BD12" i="69"/>
  <c r="BC12" i="69"/>
  <c r="AE12" i="69"/>
  <c r="AD12" i="69"/>
  <c r="AC12" i="69"/>
  <c r="AB12" i="69"/>
  <c r="AA12" i="69"/>
  <c r="DF11" i="69"/>
  <c r="DE11" i="69"/>
  <c r="DD11" i="69"/>
  <c r="DC11" i="69"/>
  <c r="DB11" i="69"/>
  <c r="DA11" i="69"/>
  <c r="CZ11" i="69"/>
  <c r="CY11" i="69"/>
  <c r="CC11" i="69"/>
  <c r="CB11" i="69"/>
  <c r="BF11" i="69"/>
  <c r="BE11" i="69"/>
  <c r="BD11" i="69"/>
  <c r="BC11" i="69"/>
  <c r="AE11" i="69"/>
  <c r="AD11" i="69"/>
  <c r="AC11" i="69"/>
  <c r="AB11" i="69"/>
  <c r="AA11" i="69"/>
  <c r="DF10" i="69"/>
  <c r="DE10" i="69"/>
  <c r="DD10" i="69"/>
  <c r="DC10" i="69"/>
  <c r="DB10" i="69"/>
  <c r="DA10" i="69"/>
  <c r="CZ10" i="69"/>
  <c r="CY10" i="69"/>
  <c r="CC10" i="69"/>
  <c r="CB10" i="69"/>
  <c r="BF10" i="69"/>
  <c r="BE10" i="69"/>
  <c r="BD10" i="69"/>
  <c r="BC10" i="69"/>
  <c r="AE10" i="69"/>
  <c r="AD10" i="69"/>
  <c r="AC10" i="69"/>
  <c r="AB10" i="69"/>
  <c r="AA10" i="69"/>
  <c r="DF9" i="69"/>
  <c r="DE9" i="69"/>
  <c r="DD9" i="69"/>
  <c r="DC9" i="69"/>
  <c r="DB9" i="69"/>
  <c r="DA9" i="69"/>
  <c r="CZ9" i="69"/>
  <c r="CY9" i="69"/>
  <c r="CC9" i="69"/>
  <c r="CB9" i="69"/>
  <c r="BF9" i="69"/>
  <c r="BE9" i="69"/>
  <c r="BD9" i="69"/>
  <c r="BC9" i="69"/>
  <c r="AE9" i="69"/>
  <c r="AD9" i="69"/>
  <c r="AC9" i="69"/>
  <c r="AB9" i="69"/>
  <c r="AA9" i="69"/>
  <c r="A9" i="69"/>
  <c r="AO86" i="68"/>
  <c r="BL86" i="68" s="1"/>
  <c r="AO85" i="68"/>
  <c r="BL85" i="68" s="1"/>
  <c r="AO84" i="68"/>
  <c r="BL84" i="68" s="1"/>
  <c r="AO83" i="68"/>
  <c r="BL83" i="68" s="1"/>
  <c r="A49" i="68"/>
  <c r="A45" i="68"/>
  <c r="A44" i="68"/>
  <c r="A43" i="68"/>
  <c r="A42" i="68"/>
  <c r="A40" i="68"/>
  <c r="AE35" i="68"/>
  <c r="AD35" i="68"/>
  <c r="AC35" i="68"/>
  <c r="AB35" i="68"/>
  <c r="AA35" i="68"/>
  <c r="DF34" i="68"/>
  <c r="DE34" i="68"/>
  <c r="DD34" i="68"/>
  <c r="DC34" i="68"/>
  <c r="DB34" i="68"/>
  <c r="DA34" i="68"/>
  <c r="CZ34" i="68"/>
  <c r="CY34" i="68"/>
  <c r="CC34" i="68"/>
  <c r="CB34" i="68"/>
  <c r="BF34" i="68"/>
  <c r="BE34" i="68"/>
  <c r="BD34" i="68"/>
  <c r="BC34" i="68"/>
  <c r="AE34" i="68"/>
  <c r="AD34" i="68"/>
  <c r="AC34" i="68"/>
  <c r="AB34" i="68"/>
  <c r="AA34" i="68"/>
  <c r="DF33" i="68"/>
  <c r="DE33" i="68"/>
  <c r="DD33" i="68"/>
  <c r="DC33" i="68"/>
  <c r="DB33" i="68"/>
  <c r="DA33" i="68"/>
  <c r="CZ33" i="68"/>
  <c r="CY33" i="68"/>
  <c r="CC33" i="68"/>
  <c r="CB33" i="68"/>
  <c r="BF33" i="68"/>
  <c r="BE33" i="68"/>
  <c r="BD33" i="68"/>
  <c r="BC33" i="68"/>
  <c r="AE33" i="68"/>
  <c r="AD33" i="68"/>
  <c r="AC33" i="68"/>
  <c r="AB33" i="68"/>
  <c r="AA33" i="68"/>
  <c r="DF32" i="68"/>
  <c r="DE32" i="68"/>
  <c r="DD32" i="68"/>
  <c r="DC32" i="68"/>
  <c r="DB32" i="68"/>
  <c r="DA32" i="68"/>
  <c r="CZ32" i="68"/>
  <c r="CY32" i="68"/>
  <c r="CC32" i="68"/>
  <c r="CB32" i="68"/>
  <c r="BF32" i="68"/>
  <c r="BE32" i="68"/>
  <c r="BD32" i="68"/>
  <c r="BC32" i="68"/>
  <c r="AE32" i="68"/>
  <c r="AD32" i="68"/>
  <c r="AC32" i="68"/>
  <c r="AB32" i="68"/>
  <c r="AA32" i="68"/>
  <c r="DF31" i="68"/>
  <c r="DE31" i="68"/>
  <c r="DD31" i="68"/>
  <c r="DC31" i="68"/>
  <c r="DB31" i="68"/>
  <c r="DA31" i="68"/>
  <c r="CZ31" i="68"/>
  <c r="CY31" i="68"/>
  <c r="CC31" i="68"/>
  <c r="CB31" i="68"/>
  <c r="BF31" i="68"/>
  <c r="BE31" i="68"/>
  <c r="BD31" i="68"/>
  <c r="BC31" i="68"/>
  <c r="AE31" i="68"/>
  <c r="AD31" i="68"/>
  <c r="AC31" i="68"/>
  <c r="AB31" i="68"/>
  <c r="AA31" i="68"/>
  <c r="DF30" i="68"/>
  <c r="DE30" i="68"/>
  <c r="DD30" i="68"/>
  <c r="DC30" i="68"/>
  <c r="DB30" i="68"/>
  <c r="DA30" i="68"/>
  <c r="CZ30" i="68"/>
  <c r="CY30" i="68"/>
  <c r="CC30" i="68"/>
  <c r="CB30" i="68"/>
  <c r="BF30" i="68"/>
  <c r="BE30" i="68"/>
  <c r="BD30" i="68"/>
  <c r="BC30" i="68"/>
  <c r="AE30" i="68"/>
  <c r="AD30" i="68"/>
  <c r="AC30" i="68"/>
  <c r="AB30" i="68"/>
  <c r="AA30" i="68"/>
  <c r="DF29" i="68"/>
  <c r="DE29" i="68"/>
  <c r="DD29" i="68"/>
  <c r="DC29" i="68"/>
  <c r="DB29" i="68"/>
  <c r="DA29" i="68"/>
  <c r="CZ29" i="68"/>
  <c r="CY29" i="68"/>
  <c r="CC29" i="68"/>
  <c r="CB29" i="68"/>
  <c r="BF29" i="68"/>
  <c r="BE29" i="68"/>
  <c r="BD29" i="68"/>
  <c r="BC29" i="68"/>
  <c r="AE29" i="68"/>
  <c r="AD29" i="68"/>
  <c r="AC29" i="68"/>
  <c r="AB29" i="68"/>
  <c r="AA29" i="68"/>
  <c r="DF28" i="68"/>
  <c r="DE28" i="68"/>
  <c r="DD28" i="68"/>
  <c r="DC28" i="68"/>
  <c r="DB28" i="68"/>
  <c r="DA28" i="68"/>
  <c r="CZ28" i="68"/>
  <c r="CY28" i="68"/>
  <c r="CC28" i="68"/>
  <c r="CB28" i="68"/>
  <c r="BF28" i="68"/>
  <c r="BE28" i="68"/>
  <c r="BD28" i="68"/>
  <c r="BC28" i="68"/>
  <c r="AE28" i="68"/>
  <c r="AD28" i="68"/>
  <c r="AC28" i="68"/>
  <c r="AB28" i="68"/>
  <c r="AA28" i="68"/>
  <c r="DF27" i="68"/>
  <c r="DE27" i="68"/>
  <c r="DD27" i="68"/>
  <c r="DC27" i="68"/>
  <c r="DB27" i="68"/>
  <c r="DA27" i="68"/>
  <c r="CZ27" i="68"/>
  <c r="CY27" i="68"/>
  <c r="CC27" i="68"/>
  <c r="CB27" i="68"/>
  <c r="BF27" i="68"/>
  <c r="BE27" i="68"/>
  <c r="BD27" i="68"/>
  <c r="BC27" i="68"/>
  <c r="AE27" i="68"/>
  <c r="AD27" i="68"/>
  <c r="AC27" i="68"/>
  <c r="AB27" i="68"/>
  <c r="AA27" i="68"/>
  <c r="DF26" i="68"/>
  <c r="DE26" i="68"/>
  <c r="DD26" i="68"/>
  <c r="DC26" i="68"/>
  <c r="DB26" i="68"/>
  <c r="DA26" i="68"/>
  <c r="CZ26" i="68"/>
  <c r="CY26" i="68"/>
  <c r="CC26" i="68"/>
  <c r="CB26" i="68"/>
  <c r="BF26" i="68"/>
  <c r="BE26" i="68"/>
  <c r="BD26" i="68"/>
  <c r="BC26" i="68"/>
  <c r="AE26" i="68"/>
  <c r="AD26" i="68"/>
  <c r="AC26" i="68"/>
  <c r="AB26" i="68"/>
  <c r="AA26" i="68"/>
  <c r="DF25" i="68"/>
  <c r="DE25" i="68"/>
  <c r="DD25" i="68"/>
  <c r="DC25" i="68"/>
  <c r="DB25" i="68"/>
  <c r="DA25" i="68"/>
  <c r="CZ25" i="68"/>
  <c r="CY25" i="68"/>
  <c r="CC25" i="68"/>
  <c r="CB25" i="68"/>
  <c r="BF25" i="68"/>
  <c r="BE25" i="68"/>
  <c r="BD25" i="68"/>
  <c r="BC25" i="68"/>
  <c r="AE25" i="68"/>
  <c r="AD25" i="68"/>
  <c r="AC25" i="68"/>
  <c r="AB25" i="68"/>
  <c r="AA25" i="68"/>
  <c r="DF24" i="68"/>
  <c r="DE24" i="68"/>
  <c r="DD24" i="68"/>
  <c r="DC24" i="68"/>
  <c r="DB24" i="68"/>
  <c r="DA24" i="68"/>
  <c r="CZ24" i="68"/>
  <c r="CY24" i="68"/>
  <c r="CC24" i="68"/>
  <c r="CB24" i="68"/>
  <c r="BF24" i="68"/>
  <c r="BE24" i="68"/>
  <c r="BD24" i="68"/>
  <c r="BC24" i="68"/>
  <c r="AE24" i="68"/>
  <c r="AD24" i="68"/>
  <c r="AC24" i="68"/>
  <c r="AB24" i="68"/>
  <c r="AA24" i="68"/>
  <c r="DF23" i="68"/>
  <c r="DE23" i="68"/>
  <c r="DD23" i="68"/>
  <c r="DC23" i="68"/>
  <c r="DB23" i="68"/>
  <c r="DA23" i="68"/>
  <c r="CZ23" i="68"/>
  <c r="CY23" i="68"/>
  <c r="CC23" i="68"/>
  <c r="CB23" i="68"/>
  <c r="BF23" i="68"/>
  <c r="BE23" i="68"/>
  <c r="BD23" i="68"/>
  <c r="BC23" i="68"/>
  <c r="AE23" i="68"/>
  <c r="AD23" i="68"/>
  <c r="AC23" i="68"/>
  <c r="AB23" i="68"/>
  <c r="AA23" i="68"/>
  <c r="DF22" i="68"/>
  <c r="DE22" i="68"/>
  <c r="DD22" i="68"/>
  <c r="DC22" i="68"/>
  <c r="DB22" i="68"/>
  <c r="DA22" i="68"/>
  <c r="CZ22" i="68"/>
  <c r="CY22" i="68"/>
  <c r="CC22" i="68"/>
  <c r="CB22" i="68"/>
  <c r="BF22" i="68"/>
  <c r="BE22" i="68"/>
  <c r="BD22" i="68"/>
  <c r="BC22" i="68"/>
  <c r="AE22" i="68"/>
  <c r="AD22" i="68"/>
  <c r="AC22" i="68"/>
  <c r="AB22" i="68"/>
  <c r="AA22" i="68"/>
  <c r="DF21" i="68"/>
  <c r="DE21" i="68"/>
  <c r="DD21" i="68"/>
  <c r="DC21" i="68"/>
  <c r="DB21" i="68"/>
  <c r="DA21" i="68"/>
  <c r="CZ21" i="68"/>
  <c r="CY21" i="68"/>
  <c r="CC21" i="68"/>
  <c r="CB21" i="68"/>
  <c r="BF21" i="68"/>
  <c r="BE21" i="68"/>
  <c r="BD21" i="68"/>
  <c r="BC21" i="68"/>
  <c r="AE21" i="68"/>
  <c r="AD21" i="68"/>
  <c r="AC21" i="68"/>
  <c r="AB21" i="68"/>
  <c r="AA21" i="68"/>
  <c r="DF20" i="68"/>
  <c r="DE20" i="68"/>
  <c r="DD20" i="68"/>
  <c r="DC20" i="68"/>
  <c r="DB20" i="68"/>
  <c r="DA20" i="68"/>
  <c r="CZ20" i="68"/>
  <c r="CY20" i="68"/>
  <c r="CC20" i="68"/>
  <c r="CB20" i="68"/>
  <c r="BF20" i="68"/>
  <c r="BE20" i="68"/>
  <c r="BD20" i="68"/>
  <c r="BC20" i="68"/>
  <c r="AE20" i="68"/>
  <c r="AD20" i="68"/>
  <c r="AC20" i="68"/>
  <c r="AB20" i="68"/>
  <c r="AA20" i="68"/>
  <c r="DF19" i="68"/>
  <c r="DE19" i="68"/>
  <c r="DD19" i="68"/>
  <c r="DC19" i="68"/>
  <c r="DB19" i="68"/>
  <c r="DA19" i="68"/>
  <c r="CZ19" i="68"/>
  <c r="CY19" i="68"/>
  <c r="CC19" i="68"/>
  <c r="CB19" i="68"/>
  <c r="BF19" i="68"/>
  <c r="BE19" i="68"/>
  <c r="BD19" i="68"/>
  <c r="BC19" i="68"/>
  <c r="AE19" i="68"/>
  <c r="AD19" i="68"/>
  <c r="AC19" i="68"/>
  <c r="AB19" i="68"/>
  <c r="AA19" i="68"/>
  <c r="DF18" i="68"/>
  <c r="DE18" i="68"/>
  <c r="DD18" i="68"/>
  <c r="DC18" i="68"/>
  <c r="DB18" i="68"/>
  <c r="DA18" i="68"/>
  <c r="CZ18" i="68"/>
  <c r="CY18" i="68"/>
  <c r="CC18" i="68"/>
  <c r="CB18" i="68"/>
  <c r="BF18" i="68"/>
  <c r="BE18" i="68"/>
  <c r="BD18" i="68"/>
  <c r="BC18" i="68"/>
  <c r="AE18" i="68"/>
  <c r="AD18" i="68"/>
  <c r="AC18" i="68"/>
  <c r="AB18" i="68"/>
  <c r="AA18" i="68"/>
  <c r="DF17" i="68"/>
  <c r="DE17" i="68"/>
  <c r="DD17" i="68"/>
  <c r="DC17" i="68"/>
  <c r="DB17" i="68"/>
  <c r="DA17" i="68"/>
  <c r="CZ17" i="68"/>
  <c r="CY17" i="68"/>
  <c r="CC17" i="68"/>
  <c r="CB17" i="68"/>
  <c r="BF17" i="68"/>
  <c r="BE17" i="68"/>
  <c r="BD17" i="68"/>
  <c r="BC17" i="68"/>
  <c r="AE17" i="68"/>
  <c r="AD17" i="68"/>
  <c r="AC17" i="68"/>
  <c r="AB17" i="68"/>
  <c r="AA17" i="68"/>
  <c r="DF16" i="68"/>
  <c r="DE16" i="68"/>
  <c r="DD16" i="68"/>
  <c r="DC16" i="68"/>
  <c r="DB16" i="68"/>
  <c r="DA16" i="68"/>
  <c r="CZ16" i="68"/>
  <c r="CY16" i="68"/>
  <c r="CC16" i="68"/>
  <c r="CB16" i="68"/>
  <c r="BF16" i="68"/>
  <c r="BE16" i="68"/>
  <c r="BD16" i="68"/>
  <c r="BC16" i="68"/>
  <c r="AE16" i="68"/>
  <c r="AD16" i="68"/>
  <c r="AC16" i="68"/>
  <c r="AB16" i="68"/>
  <c r="AA16" i="68"/>
  <c r="DF15" i="68"/>
  <c r="DE15" i="68"/>
  <c r="DD15" i="68"/>
  <c r="DC15" i="68"/>
  <c r="DB15" i="68"/>
  <c r="DA15" i="68"/>
  <c r="CZ15" i="68"/>
  <c r="CY15" i="68"/>
  <c r="CC15" i="68"/>
  <c r="CB15" i="68"/>
  <c r="BF15" i="68"/>
  <c r="BE15" i="68"/>
  <c r="BD15" i="68"/>
  <c r="BC15" i="68"/>
  <c r="AE15" i="68"/>
  <c r="AD15" i="68"/>
  <c r="AC15" i="68"/>
  <c r="AB15" i="68"/>
  <c r="AA15" i="68"/>
  <c r="DF14" i="68"/>
  <c r="DE14" i="68"/>
  <c r="DD14" i="68"/>
  <c r="DC14" i="68"/>
  <c r="DB14" i="68"/>
  <c r="DA14" i="68"/>
  <c r="CZ14" i="68"/>
  <c r="CY14" i="68"/>
  <c r="CC14" i="68"/>
  <c r="CB14" i="68"/>
  <c r="BF14" i="68"/>
  <c r="BE14" i="68"/>
  <c r="BD14" i="68"/>
  <c r="BC14" i="68"/>
  <c r="AE14" i="68"/>
  <c r="AD14" i="68"/>
  <c r="AC14" i="68"/>
  <c r="AB14" i="68"/>
  <c r="AA14" i="68"/>
  <c r="DF13" i="68"/>
  <c r="DE13" i="68"/>
  <c r="DD13" i="68"/>
  <c r="DC13" i="68"/>
  <c r="DB13" i="68"/>
  <c r="DA13" i="68"/>
  <c r="CZ13" i="68"/>
  <c r="CY13" i="68"/>
  <c r="CC13" i="68"/>
  <c r="CB13" i="68"/>
  <c r="BF13" i="68"/>
  <c r="BE13" i="68"/>
  <c r="BD13" i="68"/>
  <c r="BC13" i="68"/>
  <c r="AE13" i="68"/>
  <c r="AD13" i="68"/>
  <c r="AC13" i="68"/>
  <c r="AB13" i="68"/>
  <c r="AA13" i="68"/>
  <c r="DF12" i="68"/>
  <c r="DE12" i="68"/>
  <c r="DD12" i="68"/>
  <c r="DC12" i="68"/>
  <c r="DB12" i="68"/>
  <c r="DA12" i="68"/>
  <c r="CZ12" i="68"/>
  <c r="CY12" i="68"/>
  <c r="CC12" i="68"/>
  <c r="CB12" i="68"/>
  <c r="BF12" i="68"/>
  <c r="BE12" i="68"/>
  <c r="BD12" i="68"/>
  <c r="BC12" i="68"/>
  <c r="AE12" i="68"/>
  <c r="AD12" i="68"/>
  <c r="AC12" i="68"/>
  <c r="AB12" i="68"/>
  <c r="AA12" i="68"/>
  <c r="DF11" i="68"/>
  <c r="DE11" i="68"/>
  <c r="DD11" i="68"/>
  <c r="DC11" i="68"/>
  <c r="DB11" i="68"/>
  <c r="DA11" i="68"/>
  <c r="CZ11" i="68"/>
  <c r="CY11" i="68"/>
  <c r="CC11" i="68"/>
  <c r="CB11" i="68"/>
  <c r="BF11" i="68"/>
  <c r="BE11" i="68"/>
  <c r="BD11" i="68"/>
  <c r="BC11" i="68"/>
  <c r="AE11" i="68"/>
  <c r="AD11" i="68"/>
  <c r="AC11" i="68"/>
  <c r="AB11" i="68"/>
  <c r="AA11" i="68"/>
  <c r="DF10" i="68"/>
  <c r="DE10" i="68"/>
  <c r="DD10" i="68"/>
  <c r="DC10" i="68"/>
  <c r="DB10" i="68"/>
  <c r="DA10" i="68"/>
  <c r="CZ10" i="68"/>
  <c r="CY10" i="68"/>
  <c r="CC10" i="68"/>
  <c r="CB10" i="68"/>
  <c r="BF10" i="68"/>
  <c r="BE10" i="68"/>
  <c r="BD10" i="68"/>
  <c r="BC10" i="68"/>
  <c r="AE10" i="68"/>
  <c r="AD10" i="68"/>
  <c r="AC10" i="68"/>
  <c r="AB10" i="68"/>
  <c r="AA10" i="68"/>
  <c r="DF9" i="68"/>
  <c r="DE9" i="68"/>
  <c r="DD9" i="68"/>
  <c r="DD38" i="68" s="1"/>
  <c r="DC9" i="68"/>
  <c r="DB9" i="68"/>
  <c r="DB38" i="68" s="1"/>
  <c r="DA9" i="68"/>
  <c r="DA38" i="68" s="1"/>
  <c r="CZ9" i="68"/>
  <c r="CZ38" i="68" s="1"/>
  <c r="CY9" i="68"/>
  <c r="CC9" i="68"/>
  <c r="CB9" i="68"/>
  <c r="BF9" i="68"/>
  <c r="BF38" i="68" s="1"/>
  <c r="BE9" i="68"/>
  <c r="BD9" i="68"/>
  <c r="BD38" i="68" s="1"/>
  <c r="BC9" i="68"/>
  <c r="BC38" i="68" s="1"/>
  <c r="AE9" i="68"/>
  <c r="AE38" i="68" s="1"/>
  <c r="AD9" i="68"/>
  <c r="AC9" i="68"/>
  <c r="AB9" i="68"/>
  <c r="A9" i="68"/>
  <c r="AO88" i="67"/>
  <c r="BL88" i="67" s="1"/>
  <c r="AO87" i="67"/>
  <c r="BL87" i="67" s="1"/>
  <c r="AO86" i="67"/>
  <c r="BL86" i="67" s="1"/>
  <c r="AO85" i="67"/>
  <c r="BL85" i="67" s="1"/>
  <c r="A51" i="67"/>
  <c r="A47" i="67"/>
  <c r="A46" i="67"/>
  <c r="A45" i="67"/>
  <c r="A44" i="67"/>
  <c r="A42" i="67"/>
  <c r="R40" i="67"/>
  <c r="T72" i="67" s="1"/>
  <c r="V43" i="67" s="1"/>
  <c r="DF39" i="67"/>
  <c r="DE39" i="67"/>
  <c r="DD39" i="67"/>
  <c r="DC39" i="67"/>
  <c r="DB39" i="67"/>
  <c r="DA39" i="67"/>
  <c r="CZ39" i="67"/>
  <c r="CY39" i="67"/>
  <c r="CC39" i="67"/>
  <c r="CB39" i="67"/>
  <c r="BF39" i="67"/>
  <c r="BE39" i="67"/>
  <c r="BD39" i="67"/>
  <c r="BC39" i="67"/>
  <c r="AE39" i="67"/>
  <c r="AD39" i="67"/>
  <c r="AC39" i="67"/>
  <c r="AB39" i="67"/>
  <c r="AA39" i="67"/>
  <c r="DF38" i="67"/>
  <c r="DE38" i="67"/>
  <c r="DD38" i="67"/>
  <c r="DC38" i="67"/>
  <c r="DB38" i="67"/>
  <c r="DA38" i="67"/>
  <c r="CZ38" i="67"/>
  <c r="CY38" i="67"/>
  <c r="CC38" i="67"/>
  <c r="CB38" i="67"/>
  <c r="BF38" i="67"/>
  <c r="BE38" i="67"/>
  <c r="BD38" i="67"/>
  <c r="BC38" i="67"/>
  <c r="AE38" i="67"/>
  <c r="AD38" i="67"/>
  <c r="AC38" i="67"/>
  <c r="AB38" i="67"/>
  <c r="AA38" i="67"/>
  <c r="DF37" i="67"/>
  <c r="DE37" i="67"/>
  <c r="DD37" i="67"/>
  <c r="DC37" i="67"/>
  <c r="DB37" i="67"/>
  <c r="DA37" i="67"/>
  <c r="CZ37" i="67"/>
  <c r="CY37" i="67"/>
  <c r="CC37" i="67"/>
  <c r="CB37" i="67"/>
  <c r="BF37" i="67"/>
  <c r="BE37" i="67"/>
  <c r="BD37" i="67"/>
  <c r="BC37" i="67"/>
  <c r="AE37" i="67"/>
  <c r="AD37" i="67"/>
  <c r="AC37" i="67"/>
  <c r="AB37" i="67"/>
  <c r="AA37" i="67"/>
  <c r="DF36" i="67"/>
  <c r="DE36" i="67"/>
  <c r="DD36" i="67"/>
  <c r="DC36" i="67"/>
  <c r="DB36" i="67"/>
  <c r="DA36" i="67"/>
  <c r="CZ36" i="67"/>
  <c r="CY36" i="67"/>
  <c r="CC36" i="67"/>
  <c r="CB36" i="67"/>
  <c r="BF36" i="67"/>
  <c r="BE36" i="67"/>
  <c r="BD36" i="67"/>
  <c r="BC36" i="67"/>
  <c r="AE36" i="67"/>
  <c r="AD36" i="67"/>
  <c r="AC36" i="67"/>
  <c r="AB36" i="67"/>
  <c r="AA36" i="67"/>
  <c r="DF35" i="67"/>
  <c r="DE35" i="67"/>
  <c r="DD35" i="67"/>
  <c r="DC35" i="67"/>
  <c r="DB35" i="67"/>
  <c r="DA35" i="67"/>
  <c r="CZ35" i="67"/>
  <c r="CY35" i="67"/>
  <c r="CC35" i="67"/>
  <c r="CB35" i="67"/>
  <c r="BF35" i="67"/>
  <c r="BE35" i="67"/>
  <c r="BD35" i="67"/>
  <c r="BC35" i="67"/>
  <c r="AE35" i="67"/>
  <c r="AD35" i="67"/>
  <c r="AC35" i="67"/>
  <c r="AB35" i="67"/>
  <c r="AA35" i="67"/>
  <c r="DF34" i="67"/>
  <c r="DE34" i="67"/>
  <c r="DD34" i="67"/>
  <c r="DC34" i="67"/>
  <c r="DB34" i="67"/>
  <c r="DA34" i="67"/>
  <c r="CZ34" i="67"/>
  <c r="CY34" i="67"/>
  <c r="CC34" i="67"/>
  <c r="CB34" i="67"/>
  <c r="BF34" i="67"/>
  <c r="BE34" i="67"/>
  <c r="BD34" i="67"/>
  <c r="BC34" i="67"/>
  <c r="AE34" i="67"/>
  <c r="AD34" i="67"/>
  <c r="AC34" i="67"/>
  <c r="AB34" i="67"/>
  <c r="AA34" i="67"/>
  <c r="DF33" i="67"/>
  <c r="DE33" i="67"/>
  <c r="DD33" i="67"/>
  <c r="DC33" i="67"/>
  <c r="DB33" i="67"/>
  <c r="DA33" i="67"/>
  <c r="CZ33" i="67"/>
  <c r="CY33" i="67"/>
  <c r="CC33" i="67"/>
  <c r="CB33" i="67"/>
  <c r="BF33" i="67"/>
  <c r="BE33" i="67"/>
  <c r="BD33" i="67"/>
  <c r="BC33" i="67"/>
  <c r="AE33" i="67"/>
  <c r="AD33" i="67"/>
  <c r="AC33" i="67"/>
  <c r="AB33" i="67"/>
  <c r="AA33" i="67"/>
  <c r="DF32" i="67"/>
  <c r="DE32" i="67"/>
  <c r="DD32" i="67"/>
  <c r="DC32" i="67"/>
  <c r="DB32" i="67"/>
  <c r="DA32" i="67"/>
  <c r="CZ32" i="67"/>
  <c r="CY32" i="67"/>
  <c r="CC32" i="67"/>
  <c r="CB32" i="67"/>
  <c r="BF32" i="67"/>
  <c r="BE32" i="67"/>
  <c r="BD32" i="67"/>
  <c r="BC32" i="67"/>
  <c r="AE32" i="67"/>
  <c r="AD32" i="67"/>
  <c r="AC32" i="67"/>
  <c r="AB32" i="67"/>
  <c r="AA32" i="67"/>
  <c r="DF31" i="67"/>
  <c r="DE31" i="67"/>
  <c r="DD31" i="67"/>
  <c r="DC31" i="67"/>
  <c r="DB31" i="67"/>
  <c r="DA31" i="67"/>
  <c r="CZ31" i="67"/>
  <c r="CY31" i="67"/>
  <c r="CC31" i="67"/>
  <c r="CB31" i="67"/>
  <c r="BF31" i="67"/>
  <c r="BE31" i="67"/>
  <c r="BD31" i="67"/>
  <c r="BC31" i="67"/>
  <c r="AE31" i="67"/>
  <c r="AD31" i="67"/>
  <c r="AC31" i="67"/>
  <c r="AB31" i="67"/>
  <c r="AA31" i="67"/>
  <c r="DF30" i="67"/>
  <c r="DE30" i="67"/>
  <c r="DD30" i="67"/>
  <c r="DC30" i="67"/>
  <c r="DB30" i="67"/>
  <c r="DA30" i="67"/>
  <c r="CZ30" i="67"/>
  <c r="CY30" i="67"/>
  <c r="CC30" i="67"/>
  <c r="CB30" i="67"/>
  <c r="BF30" i="67"/>
  <c r="BE30" i="67"/>
  <c r="BD30" i="67"/>
  <c r="BC30" i="67"/>
  <c r="AE30" i="67"/>
  <c r="AD30" i="67"/>
  <c r="AC30" i="67"/>
  <c r="AB30" i="67"/>
  <c r="AA30" i="67"/>
  <c r="DF29" i="67"/>
  <c r="DE29" i="67"/>
  <c r="DD29" i="67"/>
  <c r="DC29" i="67"/>
  <c r="DB29" i="67"/>
  <c r="DA29" i="67"/>
  <c r="CZ29" i="67"/>
  <c r="CY29" i="67"/>
  <c r="CC29" i="67"/>
  <c r="CB29" i="67"/>
  <c r="BF29" i="67"/>
  <c r="BE29" i="67"/>
  <c r="BD29" i="67"/>
  <c r="BC29" i="67"/>
  <c r="AE29" i="67"/>
  <c r="AD29" i="67"/>
  <c r="AC29" i="67"/>
  <c r="AB29" i="67"/>
  <c r="AA29" i="67"/>
  <c r="DF28" i="67"/>
  <c r="DE28" i="67"/>
  <c r="DD28" i="67"/>
  <c r="DC28" i="67"/>
  <c r="DB28" i="67"/>
  <c r="DA28" i="67"/>
  <c r="CZ28" i="67"/>
  <c r="CY28" i="67"/>
  <c r="CC28" i="67"/>
  <c r="CB28" i="67"/>
  <c r="BF28" i="67"/>
  <c r="BE28" i="67"/>
  <c r="BD28" i="67"/>
  <c r="BC28" i="67"/>
  <c r="AE28" i="67"/>
  <c r="AD28" i="67"/>
  <c r="AC28" i="67"/>
  <c r="AB28" i="67"/>
  <c r="AA28" i="67"/>
  <c r="DF27" i="67"/>
  <c r="DE27" i="67"/>
  <c r="DD27" i="67"/>
  <c r="DC27" i="67"/>
  <c r="DB27" i="67"/>
  <c r="DA27" i="67"/>
  <c r="CZ27" i="67"/>
  <c r="CY27" i="67"/>
  <c r="CC27" i="67"/>
  <c r="CB27" i="67"/>
  <c r="BF27" i="67"/>
  <c r="BE27" i="67"/>
  <c r="BD27" i="67"/>
  <c r="BC27" i="67"/>
  <c r="AE27" i="67"/>
  <c r="AD27" i="67"/>
  <c r="AC27" i="67"/>
  <c r="AB27" i="67"/>
  <c r="AA27" i="67"/>
  <c r="DF26" i="67"/>
  <c r="DE26" i="67"/>
  <c r="DD26" i="67"/>
  <c r="DC26" i="67"/>
  <c r="DB26" i="67"/>
  <c r="DA26" i="67"/>
  <c r="CZ26" i="67"/>
  <c r="CY26" i="67"/>
  <c r="CC26" i="67"/>
  <c r="CB26" i="67"/>
  <c r="BF26" i="67"/>
  <c r="BE26" i="67"/>
  <c r="BD26" i="67"/>
  <c r="BC26" i="67"/>
  <c r="AE26" i="67"/>
  <c r="AD26" i="67"/>
  <c r="AC26" i="67"/>
  <c r="AB26" i="67"/>
  <c r="AA26" i="67"/>
  <c r="DF25" i="67"/>
  <c r="DE25" i="67"/>
  <c r="DD25" i="67"/>
  <c r="DC25" i="67"/>
  <c r="DB25" i="67"/>
  <c r="DA25" i="67"/>
  <c r="CZ25" i="67"/>
  <c r="CY25" i="67"/>
  <c r="CC25" i="67"/>
  <c r="CB25" i="67"/>
  <c r="BF25" i="67"/>
  <c r="BE25" i="67"/>
  <c r="BD25" i="67"/>
  <c r="BC25" i="67"/>
  <c r="AE25" i="67"/>
  <c r="AD25" i="67"/>
  <c r="AC25" i="67"/>
  <c r="AB25" i="67"/>
  <c r="AA25" i="67"/>
  <c r="DF24" i="67"/>
  <c r="DE24" i="67"/>
  <c r="DD24" i="67"/>
  <c r="DC24" i="67"/>
  <c r="DB24" i="67"/>
  <c r="DA24" i="67"/>
  <c r="CZ24" i="67"/>
  <c r="CY24" i="67"/>
  <c r="CC24" i="67"/>
  <c r="CB24" i="67"/>
  <c r="BF24" i="67"/>
  <c r="BE24" i="67"/>
  <c r="BD24" i="67"/>
  <c r="BC24" i="67"/>
  <c r="AE24" i="67"/>
  <c r="AD24" i="67"/>
  <c r="AC24" i="67"/>
  <c r="AB24" i="67"/>
  <c r="AA24" i="67"/>
  <c r="DF23" i="67"/>
  <c r="DE23" i="67"/>
  <c r="DD23" i="67"/>
  <c r="DC23" i="67"/>
  <c r="DB23" i="67"/>
  <c r="DA23" i="67"/>
  <c r="CZ23" i="67"/>
  <c r="CY23" i="67"/>
  <c r="CC23" i="67"/>
  <c r="CB23" i="67"/>
  <c r="BF23" i="67"/>
  <c r="BE23" i="67"/>
  <c r="BD23" i="67"/>
  <c r="BC23" i="67"/>
  <c r="AE23" i="67"/>
  <c r="AD23" i="67"/>
  <c r="AC23" i="67"/>
  <c r="AB23" i="67"/>
  <c r="AA23" i="67"/>
  <c r="DF22" i="67"/>
  <c r="DE22" i="67"/>
  <c r="DD22" i="67"/>
  <c r="DC22" i="67"/>
  <c r="DB22" i="67"/>
  <c r="DA22" i="67"/>
  <c r="CZ22" i="67"/>
  <c r="CY22" i="67"/>
  <c r="CC22" i="67"/>
  <c r="CB22" i="67"/>
  <c r="BF22" i="67"/>
  <c r="BE22" i="67"/>
  <c r="BD22" i="67"/>
  <c r="BC22" i="67"/>
  <c r="AE22" i="67"/>
  <c r="AD22" i="67"/>
  <c r="AC22" i="67"/>
  <c r="AB22" i="67"/>
  <c r="AA22" i="67"/>
  <c r="DF21" i="67"/>
  <c r="DE21" i="67"/>
  <c r="DD21" i="67"/>
  <c r="DC21" i="67"/>
  <c r="DB21" i="67"/>
  <c r="DA21" i="67"/>
  <c r="CZ21" i="67"/>
  <c r="CY21" i="67"/>
  <c r="CC21" i="67"/>
  <c r="CB21" i="67"/>
  <c r="BF21" i="67"/>
  <c r="BE21" i="67"/>
  <c r="BD21" i="67"/>
  <c r="BC21" i="67"/>
  <c r="AE21" i="67"/>
  <c r="AD21" i="67"/>
  <c r="AC21" i="67"/>
  <c r="AB21" i="67"/>
  <c r="AA21" i="67"/>
  <c r="DF20" i="67"/>
  <c r="DE20" i="67"/>
  <c r="DD20" i="67"/>
  <c r="DC20" i="67"/>
  <c r="DB20" i="67"/>
  <c r="DA20" i="67"/>
  <c r="CZ20" i="67"/>
  <c r="CY20" i="67"/>
  <c r="CC20" i="67"/>
  <c r="CB20" i="67"/>
  <c r="BF20" i="67"/>
  <c r="BE20" i="67"/>
  <c r="BD20" i="67"/>
  <c r="BC20" i="67"/>
  <c r="AE20" i="67"/>
  <c r="AD20" i="67"/>
  <c r="AC20" i="67"/>
  <c r="AB20" i="67"/>
  <c r="AA20" i="67"/>
  <c r="DF19" i="67"/>
  <c r="DE19" i="67"/>
  <c r="DD19" i="67"/>
  <c r="DC19" i="67"/>
  <c r="DB19" i="67"/>
  <c r="DA19" i="67"/>
  <c r="CZ19" i="67"/>
  <c r="CY19" i="67"/>
  <c r="CC19" i="67"/>
  <c r="CB19" i="67"/>
  <c r="BF19" i="67"/>
  <c r="BE19" i="67"/>
  <c r="BD19" i="67"/>
  <c r="BC19" i="67"/>
  <c r="AE19" i="67"/>
  <c r="AD19" i="67"/>
  <c r="AC19" i="67"/>
  <c r="AB19" i="67"/>
  <c r="AA19" i="67"/>
  <c r="DF18" i="67"/>
  <c r="DE18" i="67"/>
  <c r="DD18" i="67"/>
  <c r="DC18" i="67"/>
  <c r="DB18" i="67"/>
  <c r="DA18" i="67"/>
  <c r="CZ18" i="67"/>
  <c r="CY18" i="67"/>
  <c r="CC18" i="67"/>
  <c r="CB18" i="67"/>
  <c r="BF18" i="67"/>
  <c r="BE18" i="67"/>
  <c r="BD18" i="67"/>
  <c r="BC18" i="67"/>
  <c r="AE18" i="67"/>
  <c r="AD18" i="67"/>
  <c r="AC18" i="67"/>
  <c r="AB18" i="67"/>
  <c r="AA18" i="67"/>
  <c r="DF17" i="67"/>
  <c r="DE17" i="67"/>
  <c r="DD17" i="67"/>
  <c r="DC17" i="67"/>
  <c r="DB17" i="67"/>
  <c r="DA17" i="67"/>
  <c r="CZ17" i="67"/>
  <c r="CY17" i="67"/>
  <c r="CC17" i="67"/>
  <c r="CB17" i="67"/>
  <c r="BF17" i="67"/>
  <c r="BE17" i="67"/>
  <c r="BD17" i="67"/>
  <c r="BC17" i="67"/>
  <c r="AE17" i="67"/>
  <c r="AD17" i="67"/>
  <c r="AC17" i="67"/>
  <c r="AB17" i="67"/>
  <c r="AA17" i="67"/>
  <c r="DF16" i="67"/>
  <c r="DE16" i="67"/>
  <c r="DD16" i="67"/>
  <c r="DC16" i="67"/>
  <c r="DB16" i="67"/>
  <c r="DA16" i="67"/>
  <c r="CZ16" i="67"/>
  <c r="CY16" i="67"/>
  <c r="CC16" i="67"/>
  <c r="CB16" i="67"/>
  <c r="BF16" i="67"/>
  <c r="BE16" i="67"/>
  <c r="BD16" i="67"/>
  <c r="BC16" i="67"/>
  <c r="AE16" i="67"/>
  <c r="AD16" i="67"/>
  <c r="AC16" i="67"/>
  <c r="AB16" i="67"/>
  <c r="AA16" i="67"/>
  <c r="DF15" i="67"/>
  <c r="DE15" i="67"/>
  <c r="DD15" i="67"/>
  <c r="DC15" i="67"/>
  <c r="DB15" i="67"/>
  <c r="DA15" i="67"/>
  <c r="CZ15" i="67"/>
  <c r="CY15" i="67"/>
  <c r="CC15" i="67"/>
  <c r="CB15" i="67"/>
  <c r="BF15" i="67"/>
  <c r="BE15" i="67"/>
  <c r="BD15" i="67"/>
  <c r="BC15" i="67"/>
  <c r="AE15" i="67"/>
  <c r="AD15" i="67"/>
  <c r="AC15" i="67"/>
  <c r="AB15" i="67"/>
  <c r="AA15" i="67"/>
  <c r="DF14" i="67"/>
  <c r="DE14" i="67"/>
  <c r="DD14" i="67"/>
  <c r="DC14" i="67"/>
  <c r="DB14" i="67"/>
  <c r="DA14" i="67"/>
  <c r="CZ14" i="67"/>
  <c r="CY14" i="67"/>
  <c r="CC14" i="67"/>
  <c r="CB14" i="67"/>
  <c r="BF14" i="67"/>
  <c r="BE14" i="67"/>
  <c r="BD14" i="67"/>
  <c r="BC14" i="67"/>
  <c r="AE14" i="67"/>
  <c r="AD14" i="67"/>
  <c r="AC14" i="67"/>
  <c r="AB14" i="67"/>
  <c r="AA14" i="67"/>
  <c r="DF13" i="67"/>
  <c r="DE13" i="67"/>
  <c r="DD13" i="67"/>
  <c r="DC13" i="67"/>
  <c r="DB13" i="67"/>
  <c r="DA13" i="67"/>
  <c r="CZ13" i="67"/>
  <c r="CY13" i="67"/>
  <c r="CC13" i="67"/>
  <c r="CB13" i="67"/>
  <c r="BF13" i="67"/>
  <c r="BE13" i="67"/>
  <c r="BD13" i="67"/>
  <c r="BC13" i="67"/>
  <c r="AE13" i="67"/>
  <c r="AD13" i="67"/>
  <c r="AC13" i="67"/>
  <c r="AB13" i="67"/>
  <c r="AA13" i="67"/>
  <c r="DF12" i="67"/>
  <c r="DE12" i="67"/>
  <c r="DD12" i="67"/>
  <c r="DC12" i="67"/>
  <c r="DB12" i="67"/>
  <c r="DA12" i="67"/>
  <c r="CZ12" i="67"/>
  <c r="CY12" i="67"/>
  <c r="CC12" i="67"/>
  <c r="CB12" i="67"/>
  <c r="BF12" i="67"/>
  <c r="BE12" i="67"/>
  <c r="BD12" i="67"/>
  <c r="BC12" i="67"/>
  <c r="AE12" i="67"/>
  <c r="AD12" i="67"/>
  <c r="AC12" i="67"/>
  <c r="AB12" i="67"/>
  <c r="AA12" i="67"/>
  <c r="DF11" i="67"/>
  <c r="DE11" i="67"/>
  <c r="DD11" i="67"/>
  <c r="DC11" i="67"/>
  <c r="DB11" i="67"/>
  <c r="DA11" i="67"/>
  <c r="CZ11" i="67"/>
  <c r="CY11" i="67"/>
  <c r="CC11" i="67"/>
  <c r="CB11" i="67"/>
  <c r="BF11" i="67"/>
  <c r="BE11" i="67"/>
  <c r="BD11" i="67"/>
  <c r="BC11" i="67"/>
  <c r="AE11" i="67"/>
  <c r="AD11" i="67"/>
  <c r="AC11" i="67"/>
  <c r="AB11" i="67"/>
  <c r="AA11" i="67"/>
  <c r="DF10" i="67"/>
  <c r="DE10" i="67"/>
  <c r="DD10" i="67"/>
  <c r="DC10" i="67"/>
  <c r="DB10" i="67"/>
  <c r="DA10" i="67"/>
  <c r="CZ10" i="67"/>
  <c r="CY10" i="67"/>
  <c r="CC10" i="67"/>
  <c r="CB10" i="67"/>
  <c r="BF10" i="67"/>
  <c r="BE10" i="67"/>
  <c r="BD10" i="67"/>
  <c r="BC10" i="67"/>
  <c r="AE10" i="67"/>
  <c r="AD10" i="67"/>
  <c r="AC10" i="67"/>
  <c r="AB10" i="67"/>
  <c r="AA10" i="67"/>
  <c r="DF9" i="67"/>
  <c r="DE9" i="67"/>
  <c r="DD9" i="67"/>
  <c r="DC9" i="67"/>
  <c r="DB9" i="67"/>
  <c r="DA9" i="67"/>
  <c r="CZ9" i="67"/>
  <c r="CY9" i="67"/>
  <c r="CC9" i="67"/>
  <c r="CB9" i="67"/>
  <c r="BF9" i="67"/>
  <c r="BE9" i="67"/>
  <c r="BD9" i="67"/>
  <c r="BC9" i="67"/>
  <c r="AE9" i="67"/>
  <c r="AD9" i="67"/>
  <c r="AC9" i="67"/>
  <c r="AB9" i="67"/>
  <c r="AA9" i="67"/>
  <c r="A9" i="67"/>
  <c r="AO88" i="66"/>
  <c r="BL88" i="66" s="1"/>
  <c r="AO87" i="66"/>
  <c r="BL87" i="66" s="1"/>
  <c r="AO86" i="66"/>
  <c r="BL86" i="66" s="1"/>
  <c r="AO85" i="66"/>
  <c r="BL85" i="66" s="1"/>
  <c r="A51" i="66"/>
  <c r="A47" i="66"/>
  <c r="A46" i="66"/>
  <c r="A45" i="66"/>
  <c r="A44" i="66"/>
  <c r="A42" i="66"/>
  <c r="R40" i="66"/>
  <c r="T72" i="66" s="1"/>
  <c r="V43" i="66" s="1"/>
  <c r="DF39" i="66"/>
  <c r="DE39" i="66"/>
  <c r="DD39" i="66"/>
  <c r="DC39" i="66"/>
  <c r="DB39" i="66"/>
  <c r="DA39" i="66"/>
  <c r="CZ39" i="66"/>
  <c r="CY39" i="66"/>
  <c r="CC39" i="66"/>
  <c r="CB39" i="66"/>
  <c r="BF39" i="66"/>
  <c r="BE39" i="66"/>
  <c r="BD39" i="66"/>
  <c r="BC39" i="66"/>
  <c r="AE39" i="66"/>
  <c r="AD39" i="66"/>
  <c r="AC39" i="66"/>
  <c r="AB39" i="66"/>
  <c r="AA39" i="66"/>
  <c r="DF38" i="66"/>
  <c r="DE38" i="66"/>
  <c r="DD38" i="66"/>
  <c r="DC38" i="66"/>
  <c r="DB38" i="66"/>
  <c r="DA38" i="66"/>
  <c r="CZ38" i="66"/>
  <c r="CY38" i="66"/>
  <c r="CC38" i="66"/>
  <c r="CB38" i="66"/>
  <c r="BF38" i="66"/>
  <c r="BE38" i="66"/>
  <c r="BD38" i="66"/>
  <c r="BC38" i="66"/>
  <c r="AE38" i="66"/>
  <c r="AD38" i="66"/>
  <c r="AC38" i="66"/>
  <c r="AB38" i="66"/>
  <c r="AA38" i="66"/>
  <c r="DF37" i="66"/>
  <c r="DE37" i="66"/>
  <c r="DD37" i="66"/>
  <c r="DC37" i="66"/>
  <c r="DB37" i="66"/>
  <c r="DA37" i="66"/>
  <c r="CZ37" i="66"/>
  <c r="CY37" i="66"/>
  <c r="CC37" i="66"/>
  <c r="CB37" i="66"/>
  <c r="BF37" i="66"/>
  <c r="BE37" i="66"/>
  <c r="BD37" i="66"/>
  <c r="BC37" i="66"/>
  <c r="AE37" i="66"/>
  <c r="AD37" i="66"/>
  <c r="AC37" i="66"/>
  <c r="AB37" i="66"/>
  <c r="AA37" i="66"/>
  <c r="DF36" i="66"/>
  <c r="DE36" i="66"/>
  <c r="DD36" i="66"/>
  <c r="DC36" i="66"/>
  <c r="DB36" i="66"/>
  <c r="DA36" i="66"/>
  <c r="CZ36" i="66"/>
  <c r="CY36" i="66"/>
  <c r="CC36" i="66"/>
  <c r="CB36" i="66"/>
  <c r="BF36" i="66"/>
  <c r="BE36" i="66"/>
  <c r="BD36" i="66"/>
  <c r="BC36" i="66"/>
  <c r="AE36" i="66"/>
  <c r="AD36" i="66"/>
  <c r="AC36" i="66"/>
  <c r="AB36" i="66"/>
  <c r="AA36" i="66"/>
  <c r="DF35" i="66"/>
  <c r="DE35" i="66"/>
  <c r="DD35" i="66"/>
  <c r="DC35" i="66"/>
  <c r="DB35" i="66"/>
  <c r="DA35" i="66"/>
  <c r="CZ35" i="66"/>
  <c r="CY35" i="66"/>
  <c r="CC35" i="66"/>
  <c r="CB35" i="66"/>
  <c r="BF35" i="66"/>
  <c r="BE35" i="66"/>
  <c r="BD35" i="66"/>
  <c r="BC35" i="66"/>
  <c r="AE35" i="66"/>
  <c r="AD35" i="66"/>
  <c r="AC35" i="66"/>
  <c r="AB35" i="66"/>
  <c r="AA35" i="66"/>
  <c r="DF34" i="66"/>
  <c r="DE34" i="66"/>
  <c r="DD34" i="66"/>
  <c r="DC34" i="66"/>
  <c r="DB34" i="66"/>
  <c r="DA34" i="66"/>
  <c r="CZ34" i="66"/>
  <c r="CY34" i="66"/>
  <c r="CC34" i="66"/>
  <c r="CB34" i="66"/>
  <c r="BF34" i="66"/>
  <c r="BE34" i="66"/>
  <c r="BD34" i="66"/>
  <c r="BC34" i="66"/>
  <c r="AE34" i="66"/>
  <c r="AD34" i="66"/>
  <c r="AC34" i="66"/>
  <c r="AB34" i="66"/>
  <c r="AA34" i="66"/>
  <c r="DF33" i="66"/>
  <c r="DE33" i="66"/>
  <c r="DD33" i="66"/>
  <c r="DC33" i="66"/>
  <c r="DB33" i="66"/>
  <c r="DA33" i="66"/>
  <c r="CZ33" i="66"/>
  <c r="CY33" i="66"/>
  <c r="CC33" i="66"/>
  <c r="CB33" i="66"/>
  <c r="BF33" i="66"/>
  <c r="BE33" i="66"/>
  <c r="BD33" i="66"/>
  <c r="BC33" i="66"/>
  <c r="AE33" i="66"/>
  <c r="AD33" i="66"/>
  <c r="AC33" i="66"/>
  <c r="AB33" i="66"/>
  <c r="AA33" i="66"/>
  <c r="DF32" i="66"/>
  <c r="DE32" i="66"/>
  <c r="DD32" i="66"/>
  <c r="DC32" i="66"/>
  <c r="DB32" i="66"/>
  <c r="DA32" i="66"/>
  <c r="CZ32" i="66"/>
  <c r="CY32" i="66"/>
  <c r="CC32" i="66"/>
  <c r="CB32" i="66"/>
  <c r="BF32" i="66"/>
  <c r="BE32" i="66"/>
  <c r="BD32" i="66"/>
  <c r="BC32" i="66"/>
  <c r="AE32" i="66"/>
  <c r="AD32" i="66"/>
  <c r="AC32" i="66"/>
  <c r="AB32" i="66"/>
  <c r="AA32" i="66"/>
  <c r="DF31" i="66"/>
  <c r="DE31" i="66"/>
  <c r="DD31" i="66"/>
  <c r="DC31" i="66"/>
  <c r="DB31" i="66"/>
  <c r="DA31" i="66"/>
  <c r="CZ31" i="66"/>
  <c r="CY31" i="66"/>
  <c r="CC31" i="66"/>
  <c r="CB31" i="66"/>
  <c r="BF31" i="66"/>
  <c r="BE31" i="66"/>
  <c r="BD31" i="66"/>
  <c r="BC31" i="66"/>
  <c r="AE31" i="66"/>
  <c r="AD31" i="66"/>
  <c r="AC31" i="66"/>
  <c r="AB31" i="66"/>
  <c r="AA31" i="66"/>
  <c r="DF30" i="66"/>
  <c r="DE30" i="66"/>
  <c r="DD30" i="66"/>
  <c r="DC30" i="66"/>
  <c r="DB30" i="66"/>
  <c r="DA30" i="66"/>
  <c r="CZ30" i="66"/>
  <c r="CY30" i="66"/>
  <c r="CC30" i="66"/>
  <c r="CB30" i="66"/>
  <c r="BF30" i="66"/>
  <c r="BE30" i="66"/>
  <c r="BD30" i="66"/>
  <c r="BC30" i="66"/>
  <c r="AE30" i="66"/>
  <c r="AD30" i="66"/>
  <c r="AC30" i="66"/>
  <c r="AB30" i="66"/>
  <c r="AA30" i="66"/>
  <c r="DF29" i="66"/>
  <c r="DE29" i="66"/>
  <c r="DD29" i="66"/>
  <c r="DC29" i="66"/>
  <c r="DB29" i="66"/>
  <c r="DA29" i="66"/>
  <c r="CZ29" i="66"/>
  <c r="CY29" i="66"/>
  <c r="CC29" i="66"/>
  <c r="CB29" i="66"/>
  <c r="BF29" i="66"/>
  <c r="BE29" i="66"/>
  <c r="BD29" i="66"/>
  <c r="BC29" i="66"/>
  <c r="AE29" i="66"/>
  <c r="AD29" i="66"/>
  <c r="AC29" i="66"/>
  <c r="AB29" i="66"/>
  <c r="AA29" i="66"/>
  <c r="DF28" i="66"/>
  <c r="DE28" i="66"/>
  <c r="DD28" i="66"/>
  <c r="DC28" i="66"/>
  <c r="DB28" i="66"/>
  <c r="DA28" i="66"/>
  <c r="CZ28" i="66"/>
  <c r="CY28" i="66"/>
  <c r="CC28" i="66"/>
  <c r="CB28" i="66"/>
  <c r="BF28" i="66"/>
  <c r="BE28" i="66"/>
  <c r="BD28" i="66"/>
  <c r="BC28" i="66"/>
  <c r="AE28" i="66"/>
  <c r="AD28" i="66"/>
  <c r="AC28" i="66"/>
  <c r="AB28" i="66"/>
  <c r="AA28" i="66"/>
  <c r="DF27" i="66"/>
  <c r="DE27" i="66"/>
  <c r="DD27" i="66"/>
  <c r="DC27" i="66"/>
  <c r="DB27" i="66"/>
  <c r="DA27" i="66"/>
  <c r="CZ27" i="66"/>
  <c r="CY27" i="66"/>
  <c r="CC27" i="66"/>
  <c r="CB27" i="66"/>
  <c r="BF27" i="66"/>
  <c r="BE27" i="66"/>
  <c r="BD27" i="66"/>
  <c r="BC27" i="66"/>
  <c r="AE27" i="66"/>
  <c r="AD27" i="66"/>
  <c r="AC27" i="66"/>
  <c r="AB27" i="66"/>
  <c r="AA27" i="66"/>
  <c r="DF26" i="66"/>
  <c r="DE26" i="66"/>
  <c r="DD26" i="66"/>
  <c r="DC26" i="66"/>
  <c r="DB26" i="66"/>
  <c r="DA26" i="66"/>
  <c r="CZ26" i="66"/>
  <c r="CY26" i="66"/>
  <c r="CC26" i="66"/>
  <c r="CB26" i="66"/>
  <c r="BF26" i="66"/>
  <c r="BE26" i="66"/>
  <c r="BD26" i="66"/>
  <c r="BC26" i="66"/>
  <c r="AE26" i="66"/>
  <c r="AD26" i="66"/>
  <c r="AC26" i="66"/>
  <c r="AB26" i="66"/>
  <c r="AA26" i="66"/>
  <c r="DF25" i="66"/>
  <c r="DE25" i="66"/>
  <c r="DD25" i="66"/>
  <c r="DC25" i="66"/>
  <c r="DB25" i="66"/>
  <c r="DA25" i="66"/>
  <c r="CZ25" i="66"/>
  <c r="CY25" i="66"/>
  <c r="CC25" i="66"/>
  <c r="CB25" i="66"/>
  <c r="BF25" i="66"/>
  <c r="BE25" i="66"/>
  <c r="BD25" i="66"/>
  <c r="BC25" i="66"/>
  <c r="AE25" i="66"/>
  <c r="AD25" i="66"/>
  <c r="AC25" i="66"/>
  <c r="AB25" i="66"/>
  <c r="AA25" i="66"/>
  <c r="DF24" i="66"/>
  <c r="DE24" i="66"/>
  <c r="DD24" i="66"/>
  <c r="DC24" i="66"/>
  <c r="DB24" i="66"/>
  <c r="DA24" i="66"/>
  <c r="CZ24" i="66"/>
  <c r="CY24" i="66"/>
  <c r="CC24" i="66"/>
  <c r="CB24" i="66"/>
  <c r="BF24" i="66"/>
  <c r="BE24" i="66"/>
  <c r="BD24" i="66"/>
  <c r="BC24" i="66"/>
  <c r="AE24" i="66"/>
  <c r="AD24" i="66"/>
  <c r="AC24" i="66"/>
  <c r="AB24" i="66"/>
  <c r="AA24" i="66"/>
  <c r="DF23" i="66"/>
  <c r="DE23" i="66"/>
  <c r="DD23" i="66"/>
  <c r="DC23" i="66"/>
  <c r="DB23" i="66"/>
  <c r="DA23" i="66"/>
  <c r="CZ23" i="66"/>
  <c r="CY23" i="66"/>
  <c r="CC23" i="66"/>
  <c r="CB23" i="66"/>
  <c r="BF23" i="66"/>
  <c r="BE23" i="66"/>
  <c r="BD23" i="66"/>
  <c r="BC23" i="66"/>
  <c r="AE23" i="66"/>
  <c r="AD23" i="66"/>
  <c r="AC23" i="66"/>
  <c r="AB23" i="66"/>
  <c r="AA23" i="66"/>
  <c r="DF22" i="66"/>
  <c r="DE22" i="66"/>
  <c r="DD22" i="66"/>
  <c r="DC22" i="66"/>
  <c r="DB22" i="66"/>
  <c r="DA22" i="66"/>
  <c r="CZ22" i="66"/>
  <c r="CY22" i="66"/>
  <c r="CC22" i="66"/>
  <c r="CB22" i="66"/>
  <c r="BF22" i="66"/>
  <c r="BE22" i="66"/>
  <c r="BD22" i="66"/>
  <c r="BC22" i="66"/>
  <c r="AE22" i="66"/>
  <c r="AD22" i="66"/>
  <c r="AC22" i="66"/>
  <c r="AB22" i="66"/>
  <c r="AA22" i="66"/>
  <c r="DF21" i="66"/>
  <c r="DE21" i="66"/>
  <c r="DD21" i="66"/>
  <c r="DC21" i="66"/>
  <c r="DB21" i="66"/>
  <c r="DA21" i="66"/>
  <c r="CZ21" i="66"/>
  <c r="CY21" i="66"/>
  <c r="CC21" i="66"/>
  <c r="CB21" i="66"/>
  <c r="BF21" i="66"/>
  <c r="BE21" i="66"/>
  <c r="BD21" i="66"/>
  <c r="BC21" i="66"/>
  <c r="AE21" i="66"/>
  <c r="AD21" i="66"/>
  <c r="AC21" i="66"/>
  <c r="AB21" i="66"/>
  <c r="AA21" i="66"/>
  <c r="DF20" i="66"/>
  <c r="DE20" i="66"/>
  <c r="DD20" i="66"/>
  <c r="DC20" i="66"/>
  <c r="DB20" i="66"/>
  <c r="DA20" i="66"/>
  <c r="CZ20" i="66"/>
  <c r="CY20" i="66"/>
  <c r="CC20" i="66"/>
  <c r="CB20" i="66"/>
  <c r="BF20" i="66"/>
  <c r="BE20" i="66"/>
  <c r="BD20" i="66"/>
  <c r="BC20" i="66"/>
  <c r="AE20" i="66"/>
  <c r="AD20" i="66"/>
  <c r="AC20" i="66"/>
  <c r="AB20" i="66"/>
  <c r="AA20" i="66"/>
  <c r="DF19" i="66"/>
  <c r="DE19" i="66"/>
  <c r="DD19" i="66"/>
  <c r="DC19" i="66"/>
  <c r="DB19" i="66"/>
  <c r="DA19" i="66"/>
  <c r="CZ19" i="66"/>
  <c r="CY19" i="66"/>
  <c r="CC19" i="66"/>
  <c r="CB19" i="66"/>
  <c r="BF19" i="66"/>
  <c r="BE19" i="66"/>
  <c r="BD19" i="66"/>
  <c r="BC19" i="66"/>
  <c r="AE19" i="66"/>
  <c r="AD19" i="66"/>
  <c r="AC19" i="66"/>
  <c r="AB19" i="66"/>
  <c r="AA19" i="66"/>
  <c r="DF18" i="66"/>
  <c r="DE18" i="66"/>
  <c r="DD18" i="66"/>
  <c r="DC18" i="66"/>
  <c r="DB18" i="66"/>
  <c r="DA18" i="66"/>
  <c r="CZ18" i="66"/>
  <c r="CY18" i="66"/>
  <c r="CC18" i="66"/>
  <c r="CB18" i="66"/>
  <c r="BF18" i="66"/>
  <c r="BE18" i="66"/>
  <c r="BD18" i="66"/>
  <c r="BC18" i="66"/>
  <c r="AE18" i="66"/>
  <c r="AD18" i="66"/>
  <c r="AC18" i="66"/>
  <c r="AB18" i="66"/>
  <c r="AA18" i="66"/>
  <c r="DF17" i="66"/>
  <c r="DE17" i="66"/>
  <c r="DD17" i="66"/>
  <c r="DC17" i="66"/>
  <c r="DB17" i="66"/>
  <c r="DA17" i="66"/>
  <c r="CZ17" i="66"/>
  <c r="CY17" i="66"/>
  <c r="CC17" i="66"/>
  <c r="CB17" i="66"/>
  <c r="BF17" i="66"/>
  <c r="BE17" i="66"/>
  <c r="BD17" i="66"/>
  <c r="BC17" i="66"/>
  <c r="AE17" i="66"/>
  <c r="AD17" i="66"/>
  <c r="AC17" i="66"/>
  <c r="AB17" i="66"/>
  <c r="AA17" i="66"/>
  <c r="DF16" i="66"/>
  <c r="DE16" i="66"/>
  <c r="DD16" i="66"/>
  <c r="DC16" i="66"/>
  <c r="DB16" i="66"/>
  <c r="DA16" i="66"/>
  <c r="CZ16" i="66"/>
  <c r="CY16" i="66"/>
  <c r="CC16" i="66"/>
  <c r="CB16" i="66"/>
  <c r="BF16" i="66"/>
  <c r="BE16" i="66"/>
  <c r="BD16" i="66"/>
  <c r="BC16" i="66"/>
  <c r="AE16" i="66"/>
  <c r="AD16" i="66"/>
  <c r="AC16" i="66"/>
  <c r="AB16" i="66"/>
  <c r="AA16" i="66"/>
  <c r="DF15" i="66"/>
  <c r="DE15" i="66"/>
  <c r="DD15" i="66"/>
  <c r="DC15" i="66"/>
  <c r="DB15" i="66"/>
  <c r="DA15" i="66"/>
  <c r="CZ15" i="66"/>
  <c r="CY15" i="66"/>
  <c r="CC15" i="66"/>
  <c r="CB15" i="66"/>
  <c r="BF15" i="66"/>
  <c r="BE15" i="66"/>
  <c r="BD15" i="66"/>
  <c r="BC15" i="66"/>
  <c r="AE15" i="66"/>
  <c r="AD15" i="66"/>
  <c r="AC15" i="66"/>
  <c r="AB15" i="66"/>
  <c r="AA15" i="66"/>
  <c r="DF14" i="66"/>
  <c r="DE14" i="66"/>
  <c r="DD14" i="66"/>
  <c r="DC14" i="66"/>
  <c r="DB14" i="66"/>
  <c r="DA14" i="66"/>
  <c r="CZ14" i="66"/>
  <c r="CY14" i="66"/>
  <c r="CC14" i="66"/>
  <c r="CB14" i="66"/>
  <c r="BF14" i="66"/>
  <c r="BE14" i="66"/>
  <c r="BD14" i="66"/>
  <c r="BC14" i="66"/>
  <c r="AE14" i="66"/>
  <c r="AD14" i="66"/>
  <c r="AC14" i="66"/>
  <c r="AB14" i="66"/>
  <c r="AA14" i="66"/>
  <c r="DF13" i="66"/>
  <c r="DE13" i="66"/>
  <c r="DD13" i="66"/>
  <c r="DC13" i="66"/>
  <c r="DB13" i="66"/>
  <c r="DA13" i="66"/>
  <c r="CZ13" i="66"/>
  <c r="CY13" i="66"/>
  <c r="CC13" i="66"/>
  <c r="CB13" i="66"/>
  <c r="BF13" i="66"/>
  <c r="BE13" i="66"/>
  <c r="BD13" i="66"/>
  <c r="BC13" i="66"/>
  <c r="AE13" i="66"/>
  <c r="AD13" i="66"/>
  <c r="AC13" i="66"/>
  <c r="AB13" i="66"/>
  <c r="AA13" i="66"/>
  <c r="DF12" i="66"/>
  <c r="DE12" i="66"/>
  <c r="DD12" i="66"/>
  <c r="DC12" i="66"/>
  <c r="DB12" i="66"/>
  <c r="DA12" i="66"/>
  <c r="CZ12" i="66"/>
  <c r="CY12" i="66"/>
  <c r="CC12" i="66"/>
  <c r="CB12" i="66"/>
  <c r="BF12" i="66"/>
  <c r="BE12" i="66"/>
  <c r="BD12" i="66"/>
  <c r="BC12" i="66"/>
  <c r="AE12" i="66"/>
  <c r="AD12" i="66"/>
  <c r="AC12" i="66"/>
  <c r="AB12" i="66"/>
  <c r="AA12" i="66"/>
  <c r="DF11" i="66"/>
  <c r="DE11" i="66"/>
  <c r="DD11" i="66"/>
  <c r="DC11" i="66"/>
  <c r="DB11" i="66"/>
  <c r="DA11" i="66"/>
  <c r="CZ11" i="66"/>
  <c r="CY11" i="66"/>
  <c r="CC11" i="66"/>
  <c r="CB11" i="66"/>
  <c r="BF11" i="66"/>
  <c r="BE11" i="66"/>
  <c r="BD11" i="66"/>
  <c r="BC11" i="66"/>
  <c r="AE11" i="66"/>
  <c r="AD11" i="66"/>
  <c r="AC11" i="66"/>
  <c r="AB11" i="66"/>
  <c r="AA11" i="66"/>
  <c r="DF10" i="66"/>
  <c r="DE10" i="66"/>
  <c r="DD10" i="66"/>
  <c r="DC10" i="66"/>
  <c r="DB10" i="66"/>
  <c r="DA10" i="66"/>
  <c r="CZ10" i="66"/>
  <c r="CY10" i="66"/>
  <c r="CC10" i="66"/>
  <c r="CB10" i="66"/>
  <c r="BF10" i="66"/>
  <c r="BE10" i="66"/>
  <c r="BD10" i="66"/>
  <c r="BC10" i="66"/>
  <c r="AE10" i="66"/>
  <c r="AD10" i="66"/>
  <c r="AC10" i="66"/>
  <c r="AB10" i="66"/>
  <c r="AA10" i="66"/>
  <c r="DF9" i="66"/>
  <c r="DE9" i="66"/>
  <c r="DD9" i="66"/>
  <c r="DC9" i="66"/>
  <c r="DB9" i="66"/>
  <c r="DA9" i="66"/>
  <c r="CZ9" i="66"/>
  <c r="CY9" i="66"/>
  <c r="CC9" i="66"/>
  <c r="CB9" i="66"/>
  <c r="BF9" i="66"/>
  <c r="BE9" i="66"/>
  <c r="BD9" i="66"/>
  <c r="BC9" i="66"/>
  <c r="AE9" i="66"/>
  <c r="AD9" i="66"/>
  <c r="AC9" i="66"/>
  <c r="AB9" i="66"/>
  <c r="AA9" i="66"/>
  <c r="A9" i="66"/>
  <c r="AO87" i="65"/>
  <c r="BL87" i="65" s="1"/>
  <c r="AO86" i="65"/>
  <c r="BL86" i="65" s="1"/>
  <c r="AO85" i="65"/>
  <c r="BL85" i="65" s="1"/>
  <c r="AO84" i="65"/>
  <c r="BL84" i="65" s="1"/>
  <c r="A50" i="65"/>
  <c r="A46" i="65"/>
  <c r="A45" i="65"/>
  <c r="A44" i="65"/>
  <c r="A43" i="65"/>
  <c r="A41" i="65"/>
  <c r="R39" i="65"/>
  <c r="T71" i="65" s="1"/>
  <c r="V42" i="65" s="1"/>
  <c r="DF38" i="65"/>
  <c r="DE38" i="65"/>
  <c r="DD38" i="65"/>
  <c r="DC38" i="65"/>
  <c r="DB38" i="65"/>
  <c r="DA38" i="65"/>
  <c r="CZ38" i="65"/>
  <c r="CY38" i="65"/>
  <c r="CC38" i="65"/>
  <c r="CB38" i="65"/>
  <c r="BF38" i="65"/>
  <c r="BE38" i="65"/>
  <c r="BD38" i="65"/>
  <c r="BC38" i="65"/>
  <c r="AE38" i="65"/>
  <c r="AD38" i="65"/>
  <c r="AC38" i="65"/>
  <c r="AB38" i="65"/>
  <c r="AA38" i="65"/>
  <c r="DF37" i="65"/>
  <c r="DE37" i="65"/>
  <c r="DD37" i="65"/>
  <c r="DC37" i="65"/>
  <c r="DB37" i="65"/>
  <c r="DA37" i="65"/>
  <c r="CZ37" i="65"/>
  <c r="CY37" i="65"/>
  <c r="CC37" i="65"/>
  <c r="CB37" i="65"/>
  <c r="BF37" i="65"/>
  <c r="BE37" i="65"/>
  <c r="BD37" i="65"/>
  <c r="BC37" i="65"/>
  <c r="AE37" i="65"/>
  <c r="AD37" i="65"/>
  <c r="AC37" i="65"/>
  <c r="AB37" i="65"/>
  <c r="AA37" i="65"/>
  <c r="DF36" i="65"/>
  <c r="DE36" i="65"/>
  <c r="DD36" i="65"/>
  <c r="DC36" i="65"/>
  <c r="DB36" i="65"/>
  <c r="DA36" i="65"/>
  <c r="CZ36" i="65"/>
  <c r="CY36" i="65"/>
  <c r="CC36" i="65"/>
  <c r="CB36" i="65"/>
  <c r="BF36" i="65"/>
  <c r="BE36" i="65"/>
  <c r="BD36" i="65"/>
  <c r="BC36" i="65"/>
  <c r="AE36" i="65"/>
  <c r="AD36" i="65"/>
  <c r="AC36" i="65"/>
  <c r="AB36" i="65"/>
  <c r="AA36" i="65"/>
  <c r="DF35" i="65"/>
  <c r="DE35" i="65"/>
  <c r="DD35" i="65"/>
  <c r="DC35" i="65"/>
  <c r="DB35" i="65"/>
  <c r="DA35" i="65"/>
  <c r="CZ35" i="65"/>
  <c r="CY35" i="65"/>
  <c r="CC35" i="65"/>
  <c r="CB35" i="65"/>
  <c r="BF35" i="65"/>
  <c r="BE35" i="65"/>
  <c r="BD35" i="65"/>
  <c r="BC35" i="65"/>
  <c r="AE35" i="65"/>
  <c r="AD35" i="65"/>
  <c r="AC35" i="65"/>
  <c r="AB35" i="65"/>
  <c r="AA35" i="65"/>
  <c r="DF34" i="65"/>
  <c r="DE34" i="65"/>
  <c r="DD34" i="65"/>
  <c r="DC34" i="65"/>
  <c r="DB34" i="65"/>
  <c r="DA34" i="65"/>
  <c r="CZ34" i="65"/>
  <c r="CY34" i="65"/>
  <c r="CC34" i="65"/>
  <c r="CB34" i="65"/>
  <c r="BF34" i="65"/>
  <c r="BE34" i="65"/>
  <c r="BD34" i="65"/>
  <c r="BC34" i="65"/>
  <c r="AE34" i="65"/>
  <c r="AD34" i="65"/>
  <c r="AC34" i="65"/>
  <c r="AB34" i="65"/>
  <c r="AA34" i="65"/>
  <c r="DF33" i="65"/>
  <c r="DE33" i="65"/>
  <c r="DD33" i="65"/>
  <c r="DC33" i="65"/>
  <c r="DB33" i="65"/>
  <c r="DA33" i="65"/>
  <c r="CZ33" i="65"/>
  <c r="CY33" i="65"/>
  <c r="CC33" i="65"/>
  <c r="CB33" i="65"/>
  <c r="BF33" i="65"/>
  <c r="BE33" i="65"/>
  <c r="BD33" i="65"/>
  <c r="BC33" i="65"/>
  <c r="AE33" i="65"/>
  <c r="AD33" i="65"/>
  <c r="AC33" i="65"/>
  <c r="AB33" i="65"/>
  <c r="AA33" i="65"/>
  <c r="DF32" i="65"/>
  <c r="DE32" i="65"/>
  <c r="DD32" i="65"/>
  <c r="DC32" i="65"/>
  <c r="DB32" i="65"/>
  <c r="DA32" i="65"/>
  <c r="CZ32" i="65"/>
  <c r="CY32" i="65"/>
  <c r="CC32" i="65"/>
  <c r="CB32" i="65"/>
  <c r="BF32" i="65"/>
  <c r="BE32" i="65"/>
  <c r="BD32" i="65"/>
  <c r="BC32" i="65"/>
  <c r="AE32" i="65"/>
  <c r="AD32" i="65"/>
  <c r="AC32" i="65"/>
  <c r="AB32" i="65"/>
  <c r="AA32" i="65"/>
  <c r="DF31" i="65"/>
  <c r="DE31" i="65"/>
  <c r="DD31" i="65"/>
  <c r="DC31" i="65"/>
  <c r="DB31" i="65"/>
  <c r="DA31" i="65"/>
  <c r="CZ31" i="65"/>
  <c r="CY31" i="65"/>
  <c r="CC31" i="65"/>
  <c r="CB31" i="65"/>
  <c r="BF31" i="65"/>
  <c r="BE31" i="65"/>
  <c r="BD31" i="65"/>
  <c r="BC31" i="65"/>
  <c r="AE31" i="65"/>
  <c r="AD31" i="65"/>
  <c r="AC31" i="65"/>
  <c r="AB31" i="65"/>
  <c r="AA31" i="65"/>
  <c r="DF30" i="65"/>
  <c r="DE30" i="65"/>
  <c r="DD30" i="65"/>
  <c r="DC30" i="65"/>
  <c r="DB30" i="65"/>
  <c r="DA30" i="65"/>
  <c r="CZ30" i="65"/>
  <c r="CY30" i="65"/>
  <c r="CC30" i="65"/>
  <c r="CB30" i="65"/>
  <c r="BF30" i="65"/>
  <c r="BE30" i="65"/>
  <c r="BD30" i="65"/>
  <c r="BC30" i="65"/>
  <c r="AE30" i="65"/>
  <c r="AD30" i="65"/>
  <c r="AC30" i="65"/>
  <c r="AB30" i="65"/>
  <c r="AA30" i="65"/>
  <c r="DF29" i="65"/>
  <c r="DE29" i="65"/>
  <c r="DD29" i="65"/>
  <c r="DC29" i="65"/>
  <c r="DB29" i="65"/>
  <c r="DA29" i="65"/>
  <c r="CZ29" i="65"/>
  <c r="CY29" i="65"/>
  <c r="CC29" i="65"/>
  <c r="CB29" i="65"/>
  <c r="BF29" i="65"/>
  <c r="BE29" i="65"/>
  <c r="BD29" i="65"/>
  <c r="BC29" i="65"/>
  <c r="AE29" i="65"/>
  <c r="AD29" i="65"/>
  <c r="AC29" i="65"/>
  <c r="AB29" i="65"/>
  <c r="AA29" i="65"/>
  <c r="DF28" i="65"/>
  <c r="DE28" i="65"/>
  <c r="DD28" i="65"/>
  <c r="DC28" i="65"/>
  <c r="DB28" i="65"/>
  <c r="DA28" i="65"/>
  <c r="CZ28" i="65"/>
  <c r="CY28" i="65"/>
  <c r="CC28" i="65"/>
  <c r="CB28" i="65"/>
  <c r="BF28" i="65"/>
  <c r="BE28" i="65"/>
  <c r="BD28" i="65"/>
  <c r="BC28" i="65"/>
  <c r="AE28" i="65"/>
  <c r="AD28" i="65"/>
  <c r="AC28" i="65"/>
  <c r="AB28" i="65"/>
  <c r="AA28" i="65"/>
  <c r="DF27" i="65"/>
  <c r="DE27" i="65"/>
  <c r="DD27" i="65"/>
  <c r="DC27" i="65"/>
  <c r="DB27" i="65"/>
  <c r="DA27" i="65"/>
  <c r="CZ27" i="65"/>
  <c r="CY27" i="65"/>
  <c r="CC27" i="65"/>
  <c r="CB27" i="65"/>
  <c r="BF27" i="65"/>
  <c r="BE27" i="65"/>
  <c r="BD27" i="65"/>
  <c r="BC27" i="65"/>
  <c r="AE27" i="65"/>
  <c r="AD27" i="65"/>
  <c r="AC27" i="65"/>
  <c r="AB27" i="65"/>
  <c r="AA27" i="65"/>
  <c r="DF26" i="65"/>
  <c r="DE26" i="65"/>
  <c r="DD26" i="65"/>
  <c r="DC26" i="65"/>
  <c r="DB26" i="65"/>
  <c r="DA26" i="65"/>
  <c r="CZ26" i="65"/>
  <c r="CY26" i="65"/>
  <c r="CC26" i="65"/>
  <c r="CB26" i="65"/>
  <c r="BF26" i="65"/>
  <c r="BE26" i="65"/>
  <c r="BD26" i="65"/>
  <c r="BC26" i="65"/>
  <c r="AE26" i="65"/>
  <c r="AD26" i="65"/>
  <c r="AC26" i="65"/>
  <c r="AB26" i="65"/>
  <c r="AA26" i="65"/>
  <c r="DF25" i="65"/>
  <c r="DE25" i="65"/>
  <c r="DD25" i="65"/>
  <c r="DC25" i="65"/>
  <c r="DB25" i="65"/>
  <c r="DA25" i="65"/>
  <c r="CZ25" i="65"/>
  <c r="CY25" i="65"/>
  <c r="CC25" i="65"/>
  <c r="CB25" i="65"/>
  <c r="BF25" i="65"/>
  <c r="BE25" i="65"/>
  <c r="BD25" i="65"/>
  <c r="BC25" i="65"/>
  <c r="AE25" i="65"/>
  <c r="AD25" i="65"/>
  <c r="AC25" i="65"/>
  <c r="AB25" i="65"/>
  <c r="AA25" i="65"/>
  <c r="DF24" i="65"/>
  <c r="DE24" i="65"/>
  <c r="DD24" i="65"/>
  <c r="DC24" i="65"/>
  <c r="DB24" i="65"/>
  <c r="DA24" i="65"/>
  <c r="CZ24" i="65"/>
  <c r="CY24" i="65"/>
  <c r="CC24" i="65"/>
  <c r="CB24" i="65"/>
  <c r="BF24" i="65"/>
  <c r="BE24" i="65"/>
  <c r="BD24" i="65"/>
  <c r="BC24" i="65"/>
  <c r="AE24" i="65"/>
  <c r="AD24" i="65"/>
  <c r="AC24" i="65"/>
  <c r="AB24" i="65"/>
  <c r="AA24" i="65"/>
  <c r="DF23" i="65"/>
  <c r="DE23" i="65"/>
  <c r="DD23" i="65"/>
  <c r="DC23" i="65"/>
  <c r="DB23" i="65"/>
  <c r="DA23" i="65"/>
  <c r="CZ23" i="65"/>
  <c r="CY23" i="65"/>
  <c r="CC23" i="65"/>
  <c r="CB23" i="65"/>
  <c r="BF23" i="65"/>
  <c r="BE23" i="65"/>
  <c r="BD23" i="65"/>
  <c r="BC23" i="65"/>
  <c r="AE23" i="65"/>
  <c r="AD23" i="65"/>
  <c r="AC23" i="65"/>
  <c r="AB23" i="65"/>
  <c r="AA23" i="65"/>
  <c r="DF22" i="65"/>
  <c r="DE22" i="65"/>
  <c r="DD22" i="65"/>
  <c r="DC22" i="65"/>
  <c r="DB22" i="65"/>
  <c r="DA22" i="65"/>
  <c r="CZ22" i="65"/>
  <c r="CY22" i="65"/>
  <c r="CC22" i="65"/>
  <c r="CB22" i="65"/>
  <c r="BF22" i="65"/>
  <c r="BE22" i="65"/>
  <c r="BD22" i="65"/>
  <c r="BC22" i="65"/>
  <c r="AE22" i="65"/>
  <c r="AD22" i="65"/>
  <c r="AC22" i="65"/>
  <c r="AB22" i="65"/>
  <c r="AA22" i="65"/>
  <c r="DF21" i="65"/>
  <c r="DE21" i="65"/>
  <c r="DD21" i="65"/>
  <c r="DC21" i="65"/>
  <c r="DB21" i="65"/>
  <c r="DA21" i="65"/>
  <c r="CZ21" i="65"/>
  <c r="CY21" i="65"/>
  <c r="CC21" i="65"/>
  <c r="CB21" i="65"/>
  <c r="BF21" i="65"/>
  <c r="BE21" i="65"/>
  <c r="BD21" i="65"/>
  <c r="BC21" i="65"/>
  <c r="AE21" i="65"/>
  <c r="AD21" i="65"/>
  <c r="AC21" i="65"/>
  <c r="AB21" i="65"/>
  <c r="AA21" i="65"/>
  <c r="DF20" i="65"/>
  <c r="DE20" i="65"/>
  <c r="DD20" i="65"/>
  <c r="DC20" i="65"/>
  <c r="DB20" i="65"/>
  <c r="DA20" i="65"/>
  <c r="CZ20" i="65"/>
  <c r="CY20" i="65"/>
  <c r="CC20" i="65"/>
  <c r="CB20" i="65"/>
  <c r="BF20" i="65"/>
  <c r="BE20" i="65"/>
  <c r="BD20" i="65"/>
  <c r="BC20" i="65"/>
  <c r="AE20" i="65"/>
  <c r="AD20" i="65"/>
  <c r="AC20" i="65"/>
  <c r="AB20" i="65"/>
  <c r="AA20" i="65"/>
  <c r="DF19" i="65"/>
  <c r="DE19" i="65"/>
  <c r="DD19" i="65"/>
  <c r="DC19" i="65"/>
  <c r="DB19" i="65"/>
  <c r="DA19" i="65"/>
  <c r="CZ19" i="65"/>
  <c r="CY19" i="65"/>
  <c r="CC19" i="65"/>
  <c r="CB19" i="65"/>
  <c r="BF19" i="65"/>
  <c r="BE19" i="65"/>
  <c r="BD19" i="65"/>
  <c r="BC19" i="65"/>
  <c r="AE19" i="65"/>
  <c r="AD19" i="65"/>
  <c r="AC19" i="65"/>
  <c r="AB19" i="65"/>
  <c r="AA19" i="65"/>
  <c r="DF18" i="65"/>
  <c r="DE18" i="65"/>
  <c r="DD18" i="65"/>
  <c r="DC18" i="65"/>
  <c r="DB18" i="65"/>
  <c r="DA18" i="65"/>
  <c r="CZ18" i="65"/>
  <c r="CY18" i="65"/>
  <c r="CC18" i="65"/>
  <c r="CB18" i="65"/>
  <c r="BF18" i="65"/>
  <c r="BE18" i="65"/>
  <c r="BD18" i="65"/>
  <c r="BC18" i="65"/>
  <c r="AE18" i="65"/>
  <c r="AD18" i="65"/>
  <c r="AC18" i="65"/>
  <c r="AB18" i="65"/>
  <c r="AA18" i="65"/>
  <c r="DF17" i="65"/>
  <c r="DE17" i="65"/>
  <c r="DD17" i="65"/>
  <c r="DC17" i="65"/>
  <c r="DB17" i="65"/>
  <c r="DA17" i="65"/>
  <c r="CZ17" i="65"/>
  <c r="CY17" i="65"/>
  <c r="CC17" i="65"/>
  <c r="CB17" i="65"/>
  <c r="BF17" i="65"/>
  <c r="BE17" i="65"/>
  <c r="BD17" i="65"/>
  <c r="BC17" i="65"/>
  <c r="AE17" i="65"/>
  <c r="AD17" i="65"/>
  <c r="AC17" i="65"/>
  <c r="AB17" i="65"/>
  <c r="AA17" i="65"/>
  <c r="DF16" i="65"/>
  <c r="DE16" i="65"/>
  <c r="DD16" i="65"/>
  <c r="DC16" i="65"/>
  <c r="DB16" i="65"/>
  <c r="DA16" i="65"/>
  <c r="CZ16" i="65"/>
  <c r="CY16" i="65"/>
  <c r="CC16" i="65"/>
  <c r="CB16" i="65"/>
  <c r="BF16" i="65"/>
  <c r="BE16" i="65"/>
  <c r="BD16" i="65"/>
  <c r="BC16" i="65"/>
  <c r="AE16" i="65"/>
  <c r="AD16" i="65"/>
  <c r="AC16" i="65"/>
  <c r="AB16" i="65"/>
  <c r="AA16" i="65"/>
  <c r="DF15" i="65"/>
  <c r="DE15" i="65"/>
  <c r="DD15" i="65"/>
  <c r="DC15" i="65"/>
  <c r="DB15" i="65"/>
  <c r="DA15" i="65"/>
  <c r="CZ15" i="65"/>
  <c r="CY15" i="65"/>
  <c r="CC15" i="65"/>
  <c r="CB15" i="65"/>
  <c r="BF15" i="65"/>
  <c r="BE15" i="65"/>
  <c r="BD15" i="65"/>
  <c r="BC15" i="65"/>
  <c r="AE15" i="65"/>
  <c r="AD15" i="65"/>
  <c r="AC15" i="65"/>
  <c r="AB15" i="65"/>
  <c r="AA15" i="65"/>
  <c r="DF14" i="65"/>
  <c r="DE14" i="65"/>
  <c r="DD14" i="65"/>
  <c r="DC14" i="65"/>
  <c r="DB14" i="65"/>
  <c r="DA14" i="65"/>
  <c r="CZ14" i="65"/>
  <c r="CY14" i="65"/>
  <c r="CC14" i="65"/>
  <c r="CB14" i="65"/>
  <c r="BF14" i="65"/>
  <c r="BE14" i="65"/>
  <c r="BD14" i="65"/>
  <c r="BC14" i="65"/>
  <c r="AE14" i="65"/>
  <c r="AD14" i="65"/>
  <c r="AC14" i="65"/>
  <c r="AB14" i="65"/>
  <c r="AA14" i="65"/>
  <c r="DF13" i="65"/>
  <c r="DE13" i="65"/>
  <c r="DD13" i="65"/>
  <c r="DC13" i="65"/>
  <c r="DB13" i="65"/>
  <c r="DA13" i="65"/>
  <c r="CZ13" i="65"/>
  <c r="CY13" i="65"/>
  <c r="CC13" i="65"/>
  <c r="CB13" i="65"/>
  <c r="BF13" i="65"/>
  <c r="BE13" i="65"/>
  <c r="BD13" i="65"/>
  <c r="BC13" i="65"/>
  <c r="AE13" i="65"/>
  <c r="AD13" i="65"/>
  <c r="AC13" i="65"/>
  <c r="AB13" i="65"/>
  <c r="AA13" i="65"/>
  <c r="DF12" i="65"/>
  <c r="DE12" i="65"/>
  <c r="DD12" i="65"/>
  <c r="DC12" i="65"/>
  <c r="DB12" i="65"/>
  <c r="DA12" i="65"/>
  <c r="CZ12" i="65"/>
  <c r="CY12" i="65"/>
  <c r="CC12" i="65"/>
  <c r="CB12" i="65"/>
  <c r="BF12" i="65"/>
  <c r="BE12" i="65"/>
  <c r="BD12" i="65"/>
  <c r="BC12" i="65"/>
  <c r="AE12" i="65"/>
  <c r="AD12" i="65"/>
  <c r="AC12" i="65"/>
  <c r="AB12" i="65"/>
  <c r="AA12" i="65"/>
  <c r="DF11" i="65"/>
  <c r="DE11" i="65"/>
  <c r="DD11" i="65"/>
  <c r="DC11" i="65"/>
  <c r="DB11" i="65"/>
  <c r="DA11" i="65"/>
  <c r="CZ11" i="65"/>
  <c r="CY11" i="65"/>
  <c r="CC11" i="65"/>
  <c r="CB11" i="65"/>
  <c r="BF11" i="65"/>
  <c r="BE11" i="65"/>
  <c r="BD11" i="65"/>
  <c r="BC11" i="65"/>
  <c r="AE11" i="65"/>
  <c r="AD11" i="65"/>
  <c r="AC11" i="65"/>
  <c r="AB11" i="65"/>
  <c r="AA11" i="65"/>
  <c r="DF10" i="65"/>
  <c r="DE10" i="65"/>
  <c r="DD10" i="65"/>
  <c r="DC10" i="65"/>
  <c r="DB10" i="65"/>
  <c r="DA10" i="65"/>
  <c r="CZ10" i="65"/>
  <c r="CY10" i="65"/>
  <c r="CC10" i="65"/>
  <c r="CB10" i="65"/>
  <c r="BF10" i="65"/>
  <c r="BE10" i="65"/>
  <c r="BD10" i="65"/>
  <c r="BC10" i="65"/>
  <c r="AE10" i="65"/>
  <c r="AD10" i="65"/>
  <c r="AC10" i="65"/>
  <c r="AB10" i="65"/>
  <c r="AA10" i="65"/>
  <c r="DF9" i="65"/>
  <c r="DE9" i="65"/>
  <c r="DD9" i="65"/>
  <c r="DC9" i="65"/>
  <c r="DB9" i="65"/>
  <c r="DA9" i="65"/>
  <c r="CZ9" i="65"/>
  <c r="CY9" i="65"/>
  <c r="CC9" i="65"/>
  <c r="CB9" i="65"/>
  <c r="BF9" i="65"/>
  <c r="BE9" i="65"/>
  <c r="BD9" i="65"/>
  <c r="BC9" i="65"/>
  <c r="AE9" i="65"/>
  <c r="AD9" i="65"/>
  <c r="AC9" i="65"/>
  <c r="AB9" i="65"/>
  <c r="AA9" i="65"/>
  <c r="A9" i="65"/>
  <c r="AO88" i="64"/>
  <c r="BL88" i="64" s="1"/>
  <c r="AO87" i="64"/>
  <c r="BL87" i="64" s="1"/>
  <c r="AO86" i="64"/>
  <c r="BL86" i="64" s="1"/>
  <c r="AO85" i="64"/>
  <c r="BL85" i="64" s="1"/>
  <c r="A46" i="64"/>
  <c r="A45" i="64"/>
  <c r="A44" i="64"/>
  <c r="A42" i="64"/>
  <c r="R40" i="64"/>
  <c r="T72" i="64" s="1"/>
  <c r="V43" i="64" s="1"/>
  <c r="DF39" i="64"/>
  <c r="DE39" i="64"/>
  <c r="DD39" i="64"/>
  <c r="DC39" i="64"/>
  <c r="DB39" i="64"/>
  <c r="DA39" i="64"/>
  <c r="CZ39" i="64"/>
  <c r="CY39" i="64"/>
  <c r="CC39" i="64"/>
  <c r="CB39" i="64"/>
  <c r="BF39" i="64"/>
  <c r="BE39" i="64"/>
  <c r="BD39" i="64"/>
  <c r="BC39" i="64"/>
  <c r="AE39" i="64"/>
  <c r="AD39" i="64"/>
  <c r="AC39" i="64"/>
  <c r="AB39" i="64"/>
  <c r="AA39" i="64"/>
  <c r="DF38" i="64"/>
  <c r="DE38" i="64"/>
  <c r="DD38" i="64"/>
  <c r="DC38" i="64"/>
  <c r="DB38" i="64"/>
  <c r="DA38" i="64"/>
  <c r="CZ38" i="64"/>
  <c r="CY38" i="64"/>
  <c r="CC38" i="64"/>
  <c r="CB38" i="64"/>
  <c r="BF38" i="64"/>
  <c r="BE38" i="64"/>
  <c r="BD38" i="64"/>
  <c r="BC38" i="64"/>
  <c r="AE38" i="64"/>
  <c r="AD38" i="64"/>
  <c r="AC38" i="64"/>
  <c r="AB38" i="64"/>
  <c r="AA38" i="64"/>
  <c r="DF37" i="64"/>
  <c r="DE37" i="64"/>
  <c r="DD37" i="64"/>
  <c r="DC37" i="64"/>
  <c r="DB37" i="64"/>
  <c r="DA37" i="64"/>
  <c r="CZ37" i="64"/>
  <c r="CY37" i="64"/>
  <c r="CC37" i="64"/>
  <c r="CB37" i="64"/>
  <c r="BF37" i="64"/>
  <c r="BE37" i="64"/>
  <c r="BD37" i="64"/>
  <c r="BC37" i="64"/>
  <c r="AE37" i="64"/>
  <c r="AD37" i="64"/>
  <c r="AC37" i="64"/>
  <c r="AB37" i="64"/>
  <c r="AA37" i="64"/>
  <c r="DF36" i="64"/>
  <c r="DE36" i="64"/>
  <c r="DD36" i="64"/>
  <c r="DC36" i="64"/>
  <c r="DB36" i="64"/>
  <c r="DA36" i="64"/>
  <c r="CZ36" i="64"/>
  <c r="CY36" i="64"/>
  <c r="CC36" i="64"/>
  <c r="CB36" i="64"/>
  <c r="BF36" i="64"/>
  <c r="BE36" i="64"/>
  <c r="BD36" i="64"/>
  <c r="BC36" i="64"/>
  <c r="AE36" i="64"/>
  <c r="AD36" i="64"/>
  <c r="AC36" i="64"/>
  <c r="AB36" i="64"/>
  <c r="AA36" i="64"/>
  <c r="DF35" i="64"/>
  <c r="DE35" i="64"/>
  <c r="DD35" i="64"/>
  <c r="DC35" i="64"/>
  <c r="DB35" i="64"/>
  <c r="DA35" i="64"/>
  <c r="CZ35" i="64"/>
  <c r="CY35" i="64"/>
  <c r="CC35" i="64"/>
  <c r="CB35" i="64"/>
  <c r="BF35" i="64"/>
  <c r="BE35" i="64"/>
  <c r="BD35" i="64"/>
  <c r="BC35" i="64"/>
  <c r="AE35" i="64"/>
  <c r="AD35" i="64"/>
  <c r="AC35" i="64"/>
  <c r="AB35" i="64"/>
  <c r="AA35" i="64"/>
  <c r="DF34" i="64"/>
  <c r="DE34" i="64"/>
  <c r="DD34" i="64"/>
  <c r="DC34" i="64"/>
  <c r="DB34" i="64"/>
  <c r="DA34" i="64"/>
  <c r="CZ34" i="64"/>
  <c r="CY34" i="64"/>
  <c r="CC34" i="64"/>
  <c r="CB34" i="64"/>
  <c r="BF34" i="64"/>
  <c r="BE34" i="64"/>
  <c r="BD34" i="64"/>
  <c r="BC34" i="64"/>
  <c r="AE34" i="64"/>
  <c r="AD34" i="64"/>
  <c r="AC34" i="64"/>
  <c r="AB34" i="64"/>
  <c r="AA34" i="64"/>
  <c r="DF33" i="64"/>
  <c r="DE33" i="64"/>
  <c r="DD33" i="64"/>
  <c r="DC33" i="64"/>
  <c r="DB33" i="64"/>
  <c r="DA33" i="64"/>
  <c r="CZ33" i="64"/>
  <c r="CY33" i="64"/>
  <c r="CC33" i="64"/>
  <c r="CB33" i="64"/>
  <c r="BF33" i="64"/>
  <c r="BE33" i="64"/>
  <c r="BD33" i="64"/>
  <c r="BC33" i="64"/>
  <c r="AE33" i="64"/>
  <c r="AD33" i="64"/>
  <c r="AC33" i="64"/>
  <c r="AB33" i="64"/>
  <c r="AA33" i="64"/>
  <c r="DF32" i="64"/>
  <c r="DE32" i="64"/>
  <c r="DD32" i="64"/>
  <c r="DC32" i="64"/>
  <c r="DB32" i="64"/>
  <c r="DA32" i="64"/>
  <c r="CZ32" i="64"/>
  <c r="CY32" i="64"/>
  <c r="CC32" i="64"/>
  <c r="CB32" i="64"/>
  <c r="BF32" i="64"/>
  <c r="BE32" i="64"/>
  <c r="BD32" i="64"/>
  <c r="BC32" i="64"/>
  <c r="AE32" i="64"/>
  <c r="AD32" i="64"/>
  <c r="AC32" i="64"/>
  <c r="AB32" i="64"/>
  <c r="AA32" i="64"/>
  <c r="DF31" i="64"/>
  <c r="DE31" i="64"/>
  <c r="DD31" i="64"/>
  <c r="DC31" i="64"/>
  <c r="DB31" i="64"/>
  <c r="DA31" i="64"/>
  <c r="CZ31" i="64"/>
  <c r="CY31" i="64"/>
  <c r="CC31" i="64"/>
  <c r="CB31" i="64"/>
  <c r="BF31" i="64"/>
  <c r="BE31" i="64"/>
  <c r="BD31" i="64"/>
  <c r="BC31" i="64"/>
  <c r="AE31" i="64"/>
  <c r="AD31" i="64"/>
  <c r="AC31" i="64"/>
  <c r="AB31" i="64"/>
  <c r="AA31" i="64"/>
  <c r="DF30" i="64"/>
  <c r="DE30" i="64"/>
  <c r="DD30" i="64"/>
  <c r="DC30" i="64"/>
  <c r="DB30" i="64"/>
  <c r="DA30" i="64"/>
  <c r="CZ30" i="64"/>
  <c r="CY30" i="64"/>
  <c r="CC30" i="64"/>
  <c r="CB30" i="64"/>
  <c r="BF30" i="64"/>
  <c r="BE30" i="64"/>
  <c r="BD30" i="64"/>
  <c r="BC30" i="64"/>
  <c r="AE30" i="64"/>
  <c r="AD30" i="64"/>
  <c r="AC30" i="64"/>
  <c r="AB30" i="64"/>
  <c r="AA30" i="64"/>
  <c r="DF29" i="64"/>
  <c r="DE29" i="64"/>
  <c r="DD29" i="64"/>
  <c r="DC29" i="64"/>
  <c r="DB29" i="64"/>
  <c r="DA29" i="64"/>
  <c r="CZ29" i="64"/>
  <c r="CY29" i="64"/>
  <c r="CC29" i="64"/>
  <c r="CB29" i="64"/>
  <c r="BF29" i="64"/>
  <c r="BE29" i="64"/>
  <c r="BD29" i="64"/>
  <c r="BC29" i="64"/>
  <c r="AE29" i="64"/>
  <c r="AD29" i="64"/>
  <c r="AC29" i="64"/>
  <c r="AB29" i="64"/>
  <c r="AA29" i="64"/>
  <c r="DF28" i="64"/>
  <c r="DE28" i="64"/>
  <c r="DD28" i="64"/>
  <c r="DC28" i="64"/>
  <c r="DB28" i="64"/>
  <c r="DA28" i="64"/>
  <c r="CZ28" i="64"/>
  <c r="CY28" i="64"/>
  <c r="CC28" i="64"/>
  <c r="CB28" i="64"/>
  <c r="BF28" i="64"/>
  <c r="BE28" i="64"/>
  <c r="BD28" i="64"/>
  <c r="BC28" i="64"/>
  <c r="AE28" i="64"/>
  <c r="AD28" i="64"/>
  <c r="AC28" i="64"/>
  <c r="AB28" i="64"/>
  <c r="AA28" i="64"/>
  <c r="DF27" i="64"/>
  <c r="DE27" i="64"/>
  <c r="DD27" i="64"/>
  <c r="DC27" i="64"/>
  <c r="DB27" i="64"/>
  <c r="DA27" i="64"/>
  <c r="CZ27" i="64"/>
  <c r="CY27" i="64"/>
  <c r="CC27" i="64"/>
  <c r="CB27" i="64"/>
  <c r="BF27" i="64"/>
  <c r="BE27" i="64"/>
  <c r="BD27" i="64"/>
  <c r="BC27" i="64"/>
  <c r="AE27" i="64"/>
  <c r="AD27" i="64"/>
  <c r="AC27" i="64"/>
  <c r="AB27" i="64"/>
  <c r="AA27" i="64"/>
  <c r="DF26" i="64"/>
  <c r="DE26" i="64"/>
  <c r="DD26" i="64"/>
  <c r="DC26" i="64"/>
  <c r="DB26" i="64"/>
  <c r="DA26" i="64"/>
  <c r="CZ26" i="64"/>
  <c r="CY26" i="64"/>
  <c r="CC26" i="64"/>
  <c r="CB26" i="64"/>
  <c r="BF26" i="64"/>
  <c r="BE26" i="64"/>
  <c r="BD26" i="64"/>
  <c r="BC26" i="64"/>
  <c r="AE26" i="64"/>
  <c r="AD26" i="64"/>
  <c r="AC26" i="64"/>
  <c r="AB26" i="64"/>
  <c r="AA26" i="64"/>
  <c r="DF25" i="64"/>
  <c r="DE25" i="64"/>
  <c r="DD25" i="64"/>
  <c r="DC25" i="64"/>
  <c r="DB25" i="64"/>
  <c r="DA25" i="64"/>
  <c r="CZ25" i="64"/>
  <c r="CY25" i="64"/>
  <c r="CC25" i="64"/>
  <c r="CB25" i="64"/>
  <c r="BF25" i="64"/>
  <c r="BE25" i="64"/>
  <c r="BD25" i="64"/>
  <c r="BC25" i="64"/>
  <c r="AE25" i="64"/>
  <c r="AD25" i="64"/>
  <c r="AC25" i="64"/>
  <c r="AB25" i="64"/>
  <c r="AA25" i="64"/>
  <c r="DF24" i="64"/>
  <c r="DE24" i="64"/>
  <c r="DD24" i="64"/>
  <c r="DC24" i="64"/>
  <c r="DB24" i="64"/>
  <c r="DA24" i="64"/>
  <c r="CZ24" i="64"/>
  <c r="CY24" i="64"/>
  <c r="CC24" i="64"/>
  <c r="CB24" i="64"/>
  <c r="BF24" i="64"/>
  <c r="BE24" i="64"/>
  <c r="BD24" i="64"/>
  <c r="BC24" i="64"/>
  <c r="AE24" i="64"/>
  <c r="AD24" i="64"/>
  <c r="AC24" i="64"/>
  <c r="AB24" i="64"/>
  <c r="AA24" i="64"/>
  <c r="DF23" i="64"/>
  <c r="DE23" i="64"/>
  <c r="DD23" i="64"/>
  <c r="DC23" i="64"/>
  <c r="DB23" i="64"/>
  <c r="DA23" i="64"/>
  <c r="CZ23" i="64"/>
  <c r="CY23" i="64"/>
  <c r="CC23" i="64"/>
  <c r="CB23" i="64"/>
  <c r="BF23" i="64"/>
  <c r="BE23" i="64"/>
  <c r="BD23" i="64"/>
  <c r="BC23" i="64"/>
  <c r="AE23" i="64"/>
  <c r="AD23" i="64"/>
  <c r="AC23" i="64"/>
  <c r="AB23" i="64"/>
  <c r="AA23" i="64"/>
  <c r="DF22" i="64"/>
  <c r="DE22" i="64"/>
  <c r="DD22" i="64"/>
  <c r="DC22" i="64"/>
  <c r="DB22" i="64"/>
  <c r="DA22" i="64"/>
  <c r="CZ22" i="64"/>
  <c r="CY22" i="64"/>
  <c r="CC22" i="64"/>
  <c r="CB22" i="64"/>
  <c r="BF22" i="64"/>
  <c r="BE22" i="64"/>
  <c r="BD22" i="64"/>
  <c r="BC22" i="64"/>
  <c r="AE22" i="64"/>
  <c r="AD22" i="64"/>
  <c r="AC22" i="64"/>
  <c r="AB22" i="64"/>
  <c r="AA22" i="64"/>
  <c r="DF21" i="64"/>
  <c r="DE21" i="64"/>
  <c r="DD21" i="64"/>
  <c r="DC21" i="64"/>
  <c r="DB21" i="64"/>
  <c r="DA21" i="64"/>
  <c r="CZ21" i="64"/>
  <c r="CY21" i="64"/>
  <c r="CC21" i="64"/>
  <c r="CB21" i="64"/>
  <c r="BF21" i="64"/>
  <c r="BE21" i="64"/>
  <c r="BD21" i="64"/>
  <c r="BC21" i="64"/>
  <c r="AE21" i="64"/>
  <c r="AD21" i="64"/>
  <c r="AC21" i="64"/>
  <c r="AB21" i="64"/>
  <c r="AA21" i="64"/>
  <c r="DF20" i="64"/>
  <c r="DE20" i="64"/>
  <c r="DD20" i="64"/>
  <c r="DC20" i="64"/>
  <c r="DB20" i="64"/>
  <c r="DA20" i="64"/>
  <c r="CZ20" i="64"/>
  <c r="CY20" i="64"/>
  <c r="CC20" i="64"/>
  <c r="CB20" i="64"/>
  <c r="BF20" i="64"/>
  <c r="BE20" i="64"/>
  <c r="BD20" i="64"/>
  <c r="BC20" i="64"/>
  <c r="AE20" i="64"/>
  <c r="AD20" i="64"/>
  <c r="AC20" i="64"/>
  <c r="AB20" i="64"/>
  <c r="AA20" i="64"/>
  <c r="DF19" i="64"/>
  <c r="DE19" i="64"/>
  <c r="DD19" i="64"/>
  <c r="DC19" i="64"/>
  <c r="DB19" i="64"/>
  <c r="DA19" i="64"/>
  <c r="CZ19" i="64"/>
  <c r="CY19" i="64"/>
  <c r="CC19" i="64"/>
  <c r="CB19" i="64"/>
  <c r="BF19" i="64"/>
  <c r="BE19" i="64"/>
  <c r="BD19" i="64"/>
  <c r="BC19" i="64"/>
  <c r="AE19" i="64"/>
  <c r="AD19" i="64"/>
  <c r="AC19" i="64"/>
  <c r="AB19" i="64"/>
  <c r="AA19" i="64"/>
  <c r="DF18" i="64"/>
  <c r="DE18" i="64"/>
  <c r="DD18" i="64"/>
  <c r="DC18" i="64"/>
  <c r="DB18" i="64"/>
  <c r="DA18" i="64"/>
  <c r="CZ18" i="64"/>
  <c r="CY18" i="64"/>
  <c r="CC18" i="64"/>
  <c r="CB18" i="64"/>
  <c r="BF18" i="64"/>
  <c r="BE18" i="64"/>
  <c r="BD18" i="64"/>
  <c r="BC18" i="64"/>
  <c r="AE18" i="64"/>
  <c r="AD18" i="64"/>
  <c r="AC18" i="64"/>
  <c r="AB18" i="64"/>
  <c r="AA18" i="64"/>
  <c r="DF17" i="64"/>
  <c r="DE17" i="64"/>
  <c r="DD17" i="64"/>
  <c r="DC17" i="64"/>
  <c r="DB17" i="64"/>
  <c r="DA17" i="64"/>
  <c r="CZ17" i="64"/>
  <c r="CY17" i="64"/>
  <c r="CC17" i="64"/>
  <c r="CB17" i="64"/>
  <c r="BF17" i="64"/>
  <c r="BE17" i="64"/>
  <c r="BD17" i="64"/>
  <c r="BC17" i="64"/>
  <c r="AE17" i="64"/>
  <c r="AD17" i="64"/>
  <c r="AC17" i="64"/>
  <c r="AB17" i="64"/>
  <c r="AA17" i="64"/>
  <c r="DF16" i="64"/>
  <c r="DE16" i="64"/>
  <c r="DD16" i="64"/>
  <c r="DC16" i="64"/>
  <c r="DB16" i="64"/>
  <c r="DA16" i="64"/>
  <c r="CZ16" i="64"/>
  <c r="CY16" i="64"/>
  <c r="CC16" i="64"/>
  <c r="CB16" i="64"/>
  <c r="BF16" i="64"/>
  <c r="BE16" i="64"/>
  <c r="BD16" i="64"/>
  <c r="BC16" i="64"/>
  <c r="AE16" i="64"/>
  <c r="AD16" i="64"/>
  <c r="AC16" i="64"/>
  <c r="AB16" i="64"/>
  <c r="AA16" i="64"/>
  <c r="DF15" i="64"/>
  <c r="DE15" i="64"/>
  <c r="DD15" i="64"/>
  <c r="DC15" i="64"/>
  <c r="DB15" i="64"/>
  <c r="DA15" i="64"/>
  <c r="CZ15" i="64"/>
  <c r="CY15" i="64"/>
  <c r="CC15" i="64"/>
  <c r="CB15" i="64"/>
  <c r="BF15" i="64"/>
  <c r="BE15" i="64"/>
  <c r="BD15" i="64"/>
  <c r="BC15" i="64"/>
  <c r="AE15" i="64"/>
  <c r="AD15" i="64"/>
  <c r="AC15" i="64"/>
  <c r="AB15" i="64"/>
  <c r="AA15" i="64"/>
  <c r="DF14" i="64"/>
  <c r="DE14" i="64"/>
  <c r="DD14" i="64"/>
  <c r="DC14" i="64"/>
  <c r="DB14" i="64"/>
  <c r="DA14" i="64"/>
  <c r="CZ14" i="64"/>
  <c r="CY14" i="64"/>
  <c r="CC14" i="64"/>
  <c r="CB14" i="64"/>
  <c r="BF14" i="64"/>
  <c r="BE14" i="64"/>
  <c r="BD14" i="64"/>
  <c r="BC14" i="64"/>
  <c r="AE14" i="64"/>
  <c r="AD14" i="64"/>
  <c r="AC14" i="64"/>
  <c r="AB14" i="64"/>
  <c r="AA14" i="64"/>
  <c r="DF13" i="64"/>
  <c r="DE13" i="64"/>
  <c r="DD13" i="64"/>
  <c r="DC13" i="64"/>
  <c r="DB13" i="64"/>
  <c r="DA13" i="64"/>
  <c r="CZ13" i="64"/>
  <c r="CY13" i="64"/>
  <c r="CC13" i="64"/>
  <c r="CB13" i="64"/>
  <c r="BF13" i="64"/>
  <c r="BE13" i="64"/>
  <c r="BD13" i="64"/>
  <c r="BC13" i="64"/>
  <c r="AE13" i="64"/>
  <c r="AD13" i="64"/>
  <c r="AC13" i="64"/>
  <c r="AB13" i="64"/>
  <c r="AA13" i="64"/>
  <c r="DF12" i="64"/>
  <c r="DE12" i="64"/>
  <c r="DD12" i="64"/>
  <c r="DC12" i="64"/>
  <c r="DB12" i="64"/>
  <c r="DA12" i="64"/>
  <c r="CZ12" i="64"/>
  <c r="CY12" i="64"/>
  <c r="CC12" i="64"/>
  <c r="CB12" i="64"/>
  <c r="BF12" i="64"/>
  <c r="BE12" i="64"/>
  <c r="BD12" i="64"/>
  <c r="BC12" i="64"/>
  <c r="AE12" i="64"/>
  <c r="AD12" i="64"/>
  <c r="AC12" i="64"/>
  <c r="AB12" i="64"/>
  <c r="AA12" i="64"/>
  <c r="DF11" i="64"/>
  <c r="DE11" i="64"/>
  <c r="DD11" i="64"/>
  <c r="DC11" i="64"/>
  <c r="DB11" i="64"/>
  <c r="DA11" i="64"/>
  <c r="CZ11" i="64"/>
  <c r="CY11" i="64"/>
  <c r="CC11" i="64"/>
  <c r="CB11" i="64"/>
  <c r="BF11" i="64"/>
  <c r="BE11" i="64"/>
  <c r="BD11" i="64"/>
  <c r="BC11" i="64"/>
  <c r="AE11" i="64"/>
  <c r="AD11" i="64"/>
  <c r="AC11" i="64"/>
  <c r="AB11" i="64"/>
  <c r="AA11" i="64"/>
  <c r="DF10" i="64"/>
  <c r="DE10" i="64"/>
  <c r="DD10" i="64"/>
  <c r="DC10" i="64"/>
  <c r="DB10" i="64"/>
  <c r="DA10" i="64"/>
  <c r="CZ10" i="64"/>
  <c r="CY10" i="64"/>
  <c r="CC10" i="64"/>
  <c r="CB10" i="64"/>
  <c r="BF10" i="64"/>
  <c r="BE10" i="64"/>
  <c r="BD10" i="64"/>
  <c r="BC10" i="64"/>
  <c r="AE10" i="64"/>
  <c r="AD10" i="64"/>
  <c r="AC10" i="64"/>
  <c r="AB10" i="64"/>
  <c r="AA10" i="64"/>
  <c r="DF9" i="64"/>
  <c r="DE9" i="64"/>
  <c r="DD9" i="64"/>
  <c r="DC9" i="64"/>
  <c r="DB9" i="64"/>
  <c r="DA9" i="64"/>
  <c r="CZ9" i="64"/>
  <c r="CY9" i="64"/>
  <c r="CC9" i="64"/>
  <c r="CB9" i="64"/>
  <c r="BF9" i="64"/>
  <c r="BE9" i="64"/>
  <c r="BD9" i="64"/>
  <c r="BC9" i="64"/>
  <c r="BC40" i="64" s="1"/>
  <c r="AE9" i="64"/>
  <c r="AD9" i="64"/>
  <c r="AC9" i="64"/>
  <c r="AB9" i="64"/>
  <c r="AA9" i="64"/>
  <c r="A9" i="64"/>
  <c r="R39" i="63"/>
  <c r="T71" i="63" s="1"/>
  <c r="V42" i="63" s="1"/>
  <c r="AO87" i="63"/>
  <c r="BL87" i="63" s="1"/>
  <c r="AO86" i="63"/>
  <c r="BL86" i="63" s="1"/>
  <c r="AO85" i="63"/>
  <c r="BL85" i="63" s="1"/>
  <c r="AO84" i="63"/>
  <c r="BL84" i="63" s="1"/>
  <c r="A50" i="63"/>
  <c r="A46" i="63"/>
  <c r="A45" i="63"/>
  <c r="A44" i="63"/>
  <c r="A43" i="63"/>
  <c r="A41" i="63"/>
  <c r="DF38" i="63"/>
  <c r="DE38" i="63"/>
  <c r="DD38" i="63"/>
  <c r="DC38" i="63"/>
  <c r="DB38" i="63"/>
  <c r="DA38" i="63"/>
  <c r="CZ38" i="63"/>
  <c r="CY38" i="63"/>
  <c r="CC38" i="63"/>
  <c r="CB38" i="63"/>
  <c r="BF38" i="63"/>
  <c r="BE38" i="63"/>
  <c r="BD38" i="63"/>
  <c r="BC38" i="63"/>
  <c r="AE38" i="63"/>
  <c r="AD38" i="63"/>
  <c r="AC38" i="63"/>
  <c r="AB38" i="63"/>
  <c r="AA38" i="63"/>
  <c r="Y38" i="63"/>
  <c r="DF37" i="63"/>
  <c r="DE37" i="63"/>
  <c r="DD37" i="63"/>
  <c r="DC37" i="63"/>
  <c r="DB37" i="63"/>
  <c r="DA37" i="63"/>
  <c r="CZ37" i="63"/>
  <c r="CY37" i="63"/>
  <c r="CC37" i="63"/>
  <c r="CB37" i="63"/>
  <c r="BF37" i="63"/>
  <c r="BE37" i="63"/>
  <c r="BD37" i="63"/>
  <c r="BC37" i="63"/>
  <c r="AE37" i="63"/>
  <c r="AD37" i="63"/>
  <c r="AC37" i="63"/>
  <c r="AB37" i="63"/>
  <c r="AA37" i="63"/>
  <c r="Y37" i="63"/>
  <c r="DF36" i="63"/>
  <c r="DE36" i="63"/>
  <c r="DD36" i="63"/>
  <c r="DC36" i="63"/>
  <c r="DB36" i="63"/>
  <c r="DA36" i="63"/>
  <c r="CZ36" i="63"/>
  <c r="CY36" i="63"/>
  <c r="CC36" i="63"/>
  <c r="CB36" i="63"/>
  <c r="BF36" i="63"/>
  <c r="BE36" i="63"/>
  <c r="BD36" i="63"/>
  <c r="BC36" i="63"/>
  <c r="AE36" i="63"/>
  <c r="AD36" i="63"/>
  <c r="AC36" i="63"/>
  <c r="AB36" i="63"/>
  <c r="AA36" i="63"/>
  <c r="Y36" i="63"/>
  <c r="DF35" i="63"/>
  <c r="DE35" i="63"/>
  <c r="DD35" i="63"/>
  <c r="DC35" i="63"/>
  <c r="DB35" i="63"/>
  <c r="DA35" i="63"/>
  <c r="CZ35" i="63"/>
  <c r="CY35" i="63"/>
  <c r="CC35" i="63"/>
  <c r="CB35" i="63"/>
  <c r="BF35" i="63"/>
  <c r="BE35" i="63"/>
  <c r="BD35" i="63"/>
  <c r="BC35" i="63"/>
  <c r="AE35" i="63"/>
  <c r="AD35" i="63"/>
  <c r="AC35" i="63"/>
  <c r="AB35" i="63"/>
  <c r="AA35" i="63"/>
  <c r="Y35" i="63"/>
  <c r="DF34" i="63"/>
  <c r="DE34" i="63"/>
  <c r="DD34" i="63"/>
  <c r="DC34" i="63"/>
  <c r="DB34" i="63"/>
  <c r="DA34" i="63"/>
  <c r="CZ34" i="63"/>
  <c r="CY34" i="63"/>
  <c r="CC34" i="63"/>
  <c r="CB34" i="63"/>
  <c r="BF34" i="63"/>
  <c r="BE34" i="63"/>
  <c r="BD34" i="63"/>
  <c r="BC34" i="63"/>
  <c r="AE34" i="63"/>
  <c r="AD34" i="63"/>
  <c r="AC34" i="63"/>
  <c r="AB34" i="63"/>
  <c r="AA34" i="63"/>
  <c r="Y34" i="63"/>
  <c r="DF33" i="63"/>
  <c r="DE33" i="63"/>
  <c r="DD33" i="63"/>
  <c r="DC33" i="63"/>
  <c r="DB33" i="63"/>
  <c r="DA33" i="63"/>
  <c r="CZ33" i="63"/>
  <c r="CY33" i="63"/>
  <c r="CC33" i="63"/>
  <c r="CB33" i="63"/>
  <c r="BF33" i="63"/>
  <c r="BE33" i="63"/>
  <c r="BD33" i="63"/>
  <c r="BC33" i="63"/>
  <c r="AE33" i="63"/>
  <c r="AD33" i="63"/>
  <c r="AC33" i="63"/>
  <c r="AB33" i="63"/>
  <c r="AA33" i="63"/>
  <c r="Y33" i="63"/>
  <c r="DF32" i="63"/>
  <c r="DE32" i="63"/>
  <c r="DD32" i="63"/>
  <c r="DC32" i="63"/>
  <c r="DB32" i="63"/>
  <c r="DA32" i="63"/>
  <c r="CZ32" i="63"/>
  <c r="CY32" i="63"/>
  <c r="CC32" i="63"/>
  <c r="CB32" i="63"/>
  <c r="BF32" i="63"/>
  <c r="BE32" i="63"/>
  <c r="BD32" i="63"/>
  <c r="BC32" i="63"/>
  <c r="AE32" i="63"/>
  <c r="AD32" i="63"/>
  <c r="AC32" i="63"/>
  <c r="AB32" i="63"/>
  <c r="AA32" i="63"/>
  <c r="DF31" i="63"/>
  <c r="DE31" i="63"/>
  <c r="DD31" i="63"/>
  <c r="DC31" i="63"/>
  <c r="DB31" i="63"/>
  <c r="DA31" i="63"/>
  <c r="CZ31" i="63"/>
  <c r="CY31" i="63"/>
  <c r="CC31" i="63"/>
  <c r="CB31" i="63"/>
  <c r="BF31" i="63"/>
  <c r="BE31" i="63"/>
  <c r="BD31" i="63"/>
  <c r="BC31" i="63"/>
  <c r="AE31" i="63"/>
  <c r="AD31" i="63"/>
  <c r="AC31" i="63"/>
  <c r="AB31" i="63"/>
  <c r="AA31" i="63"/>
  <c r="Y31" i="63"/>
  <c r="DF30" i="63"/>
  <c r="DE30" i="63"/>
  <c r="DD30" i="63"/>
  <c r="DC30" i="63"/>
  <c r="DB30" i="63"/>
  <c r="DA30" i="63"/>
  <c r="CZ30" i="63"/>
  <c r="CY30" i="63"/>
  <c r="CC30" i="63"/>
  <c r="CB30" i="63"/>
  <c r="BF30" i="63"/>
  <c r="BE30" i="63"/>
  <c r="BD30" i="63"/>
  <c r="BC30" i="63"/>
  <c r="AE30" i="63"/>
  <c r="AD30" i="63"/>
  <c r="AC30" i="63"/>
  <c r="AB30" i="63"/>
  <c r="AA30" i="63"/>
  <c r="Y30" i="63"/>
  <c r="DF29" i="63"/>
  <c r="DE29" i="63"/>
  <c r="DD29" i="63"/>
  <c r="DC29" i="63"/>
  <c r="DB29" i="63"/>
  <c r="DA29" i="63"/>
  <c r="CZ29" i="63"/>
  <c r="CY29" i="63"/>
  <c r="CC29" i="63"/>
  <c r="CB29" i="63"/>
  <c r="BF29" i="63"/>
  <c r="BE29" i="63"/>
  <c r="BD29" i="63"/>
  <c r="BC29" i="63"/>
  <c r="AE29" i="63"/>
  <c r="AD29" i="63"/>
  <c r="AC29" i="63"/>
  <c r="AB29" i="63"/>
  <c r="AA29" i="63"/>
  <c r="Y29" i="63"/>
  <c r="DF28" i="63"/>
  <c r="DE28" i="63"/>
  <c r="DD28" i="63"/>
  <c r="DC28" i="63"/>
  <c r="DB28" i="63"/>
  <c r="DA28" i="63"/>
  <c r="CZ28" i="63"/>
  <c r="CY28" i="63"/>
  <c r="CC28" i="63"/>
  <c r="CB28" i="63"/>
  <c r="BF28" i="63"/>
  <c r="BE28" i="63"/>
  <c r="BD28" i="63"/>
  <c r="BC28" i="63"/>
  <c r="AE28" i="63"/>
  <c r="AD28" i="63"/>
  <c r="AC28" i="63"/>
  <c r="AB28" i="63"/>
  <c r="AA28" i="63"/>
  <c r="Y28" i="63"/>
  <c r="DF27" i="63"/>
  <c r="DE27" i="63"/>
  <c r="DD27" i="63"/>
  <c r="DC27" i="63"/>
  <c r="DB27" i="63"/>
  <c r="DA27" i="63"/>
  <c r="CZ27" i="63"/>
  <c r="CY27" i="63"/>
  <c r="CC27" i="63"/>
  <c r="CB27" i="63"/>
  <c r="BF27" i="63"/>
  <c r="BE27" i="63"/>
  <c r="BD27" i="63"/>
  <c r="BC27" i="63"/>
  <c r="AE27" i="63"/>
  <c r="AD27" i="63"/>
  <c r="AC27" i="63"/>
  <c r="AB27" i="63"/>
  <c r="AA27" i="63"/>
  <c r="Y27" i="63"/>
  <c r="DF26" i="63"/>
  <c r="DE26" i="63"/>
  <c r="DD26" i="63"/>
  <c r="DC26" i="63"/>
  <c r="DB26" i="63"/>
  <c r="DA26" i="63"/>
  <c r="CZ26" i="63"/>
  <c r="CY26" i="63"/>
  <c r="CC26" i="63"/>
  <c r="CB26" i="63"/>
  <c r="BF26" i="63"/>
  <c r="BE26" i="63"/>
  <c r="BD26" i="63"/>
  <c r="BC26" i="63"/>
  <c r="AE26" i="63"/>
  <c r="AD26" i="63"/>
  <c r="AC26" i="63"/>
  <c r="AB26" i="63"/>
  <c r="AA26" i="63"/>
  <c r="Y26" i="63"/>
  <c r="DF25" i="63"/>
  <c r="DE25" i="63"/>
  <c r="DD25" i="63"/>
  <c r="DC25" i="63"/>
  <c r="DB25" i="63"/>
  <c r="DA25" i="63"/>
  <c r="CZ25" i="63"/>
  <c r="CY25" i="63"/>
  <c r="CC25" i="63"/>
  <c r="CB25" i="63"/>
  <c r="BF25" i="63"/>
  <c r="BE25" i="63"/>
  <c r="BD25" i="63"/>
  <c r="BC25" i="63"/>
  <c r="AE25" i="63"/>
  <c r="AD25" i="63"/>
  <c r="AC25" i="63"/>
  <c r="AB25" i="63"/>
  <c r="AA25" i="63"/>
  <c r="DF24" i="63"/>
  <c r="DE24" i="63"/>
  <c r="DD24" i="63"/>
  <c r="DC24" i="63"/>
  <c r="DB24" i="63"/>
  <c r="DA24" i="63"/>
  <c r="CZ24" i="63"/>
  <c r="CY24" i="63"/>
  <c r="CC24" i="63"/>
  <c r="CB24" i="63"/>
  <c r="BF24" i="63"/>
  <c r="BE24" i="63"/>
  <c r="BD24" i="63"/>
  <c r="BC24" i="63"/>
  <c r="AE24" i="63"/>
  <c r="AD24" i="63"/>
  <c r="AC24" i="63"/>
  <c r="AB24" i="63"/>
  <c r="AA24" i="63"/>
  <c r="DF23" i="63"/>
  <c r="DE23" i="63"/>
  <c r="DD23" i="63"/>
  <c r="DC23" i="63"/>
  <c r="DB23" i="63"/>
  <c r="DA23" i="63"/>
  <c r="CZ23" i="63"/>
  <c r="CY23" i="63"/>
  <c r="CC23" i="63"/>
  <c r="CB23" i="63"/>
  <c r="BF23" i="63"/>
  <c r="BE23" i="63"/>
  <c r="BD23" i="63"/>
  <c r="BC23" i="63"/>
  <c r="AE23" i="63"/>
  <c r="AD23" i="63"/>
  <c r="AC23" i="63"/>
  <c r="AB23" i="63"/>
  <c r="AA23" i="63"/>
  <c r="DF22" i="63"/>
  <c r="DE22" i="63"/>
  <c r="DD22" i="63"/>
  <c r="DC22" i="63"/>
  <c r="DB22" i="63"/>
  <c r="DA22" i="63"/>
  <c r="CZ22" i="63"/>
  <c r="CY22" i="63"/>
  <c r="CC22" i="63"/>
  <c r="CB22" i="63"/>
  <c r="BF22" i="63"/>
  <c r="BE22" i="63"/>
  <c r="BD22" i="63"/>
  <c r="BC22" i="63"/>
  <c r="AE22" i="63"/>
  <c r="AD22" i="63"/>
  <c r="AC22" i="63"/>
  <c r="AB22" i="63"/>
  <c r="AA22" i="63"/>
  <c r="DF21" i="63"/>
  <c r="DE21" i="63"/>
  <c r="DD21" i="63"/>
  <c r="DC21" i="63"/>
  <c r="DB21" i="63"/>
  <c r="DA21" i="63"/>
  <c r="CZ21" i="63"/>
  <c r="CY21" i="63"/>
  <c r="CC21" i="63"/>
  <c r="CB21" i="63"/>
  <c r="BF21" i="63"/>
  <c r="BE21" i="63"/>
  <c r="BD21" i="63"/>
  <c r="BC21" i="63"/>
  <c r="AE21" i="63"/>
  <c r="AD21" i="63"/>
  <c r="AC21" i="63"/>
  <c r="AB21" i="63"/>
  <c r="AA21" i="63"/>
  <c r="DF20" i="63"/>
  <c r="DE20" i="63"/>
  <c r="DD20" i="63"/>
  <c r="DC20" i="63"/>
  <c r="DB20" i="63"/>
  <c r="DA20" i="63"/>
  <c r="CZ20" i="63"/>
  <c r="CY20" i="63"/>
  <c r="CC20" i="63"/>
  <c r="CB20" i="63"/>
  <c r="BF20" i="63"/>
  <c r="BE20" i="63"/>
  <c r="BD20" i="63"/>
  <c r="BC20" i="63"/>
  <c r="AE20" i="63"/>
  <c r="AD20" i="63"/>
  <c r="AC20" i="63"/>
  <c r="AB20" i="63"/>
  <c r="AA20" i="63"/>
  <c r="DF19" i="63"/>
  <c r="DE19" i="63"/>
  <c r="DD19" i="63"/>
  <c r="DC19" i="63"/>
  <c r="DB19" i="63"/>
  <c r="DA19" i="63"/>
  <c r="CZ19" i="63"/>
  <c r="CY19" i="63"/>
  <c r="CC19" i="63"/>
  <c r="CB19" i="63"/>
  <c r="BF19" i="63"/>
  <c r="BE19" i="63"/>
  <c r="BD19" i="63"/>
  <c r="BC19" i="63"/>
  <c r="AE19" i="63"/>
  <c r="AD19" i="63"/>
  <c r="AC19" i="63"/>
  <c r="AB19" i="63"/>
  <c r="AA19" i="63"/>
  <c r="DF18" i="63"/>
  <c r="DE18" i="63"/>
  <c r="DD18" i="63"/>
  <c r="DC18" i="63"/>
  <c r="DB18" i="63"/>
  <c r="DA18" i="63"/>
  <c r="CZ18" i="63"/>
  <c r="CY18" i="63"/>
  <c r="CC18" i="63"/>
  <c r="CB18" i="63"/>
  <c r="BF18" i="63"/>
  <c r="BE18" i="63"/>
  <c r="BD18" i="63"/>
  <c r="BC18" i="63"/>
  <c r="AE18" i="63"/>
  <c r="AD18" i="63"/>
  <c r="AC18" i="63"/>
  <c r="AB18" i="63"/>
  <c r="AA18" i="63"/>
  <c r="DF17" i="63"/>
  <c r="DE17" i="63"/>
  <c r="DD17" i="63"/>
  <c r="DC17" i="63"/>
  <c r="DB17" i="63"/>
  <c r="DA17" i="63"/>
  <c r="CZ17" i="63"/>
  <c r="CY17" i="63"/>
  <c r="CC17" i="63"/>
  <c r="CB17" i="63"/>
  <c r="BF17" i="63"/>
  <c r="BE17" i="63"/>
  <c r="BD17" i="63"/>
  <c r="BC17" i="63"/>
  <c r="AE17" i="63"/>
  <c r="AD17" i="63"/>
  <c r="AC17" i="63"/>
  <c r="AB17" i="63"/>
  <c r="AA17" i="63"/>
  <c r="Y17" i="63"/>
  <c r="DF16" i="63"/>
  <c r="DE16" i="63"/>
  <c r="DD16" i="63"/>
  <c r="DC16" i="63"/>
  <c r="DB16" i="63"/>
  <c r="DA16" i="63"/>
  <c r="CZ16" i="63"/>
  <c r="CY16" i="63"/>
  <c r="CC16" i="63"/>
  <c r="CB16" i="63"/>
  <c r="BF16" i="63"/>
  <c r="BE16" i="63"/>
  <c r="BD16" i="63"/>
  <c r="BC16" i="63"/>
  <c r="AE16" i="63"/>
  <c r="AD16" i="63"/>
  <c r="AC16" i="63"/>
  <c r="AB16" i="63"/>
  <c r="AA16" i="63"/>
  <c r="Y16" i="63"/>
  <c r="DF15" i="63"/>
  <c r="DE15" i="63"/>
  <c r="DD15" i="63"/>
  <c r="DC15" i="63"/>
  <c r="DB15" i="63"/>
  <c r="DA15" i="63"/>
  <c r="CZ15" i="63"/>
  <c r="CY15" i="63"/>
  <c r="CC15" i="63"/>
  <c r="CB15" i="63"/>
  <c r="BF15" i="63"/>
  <c r="BE15" i="63"/>
  <c r="BD15" i="63"/>
  <c r="BC15" i="63"/>
  <c r="AE15" i="63"/>
  <c r="AD15" i="63"/>
  <c r="AC15" i="63"/>
  <c r="AB15" i="63"/>
  <c r="AA15" i="63"/>
  <c r="DF14" i="63"/>
  <c r="DE14" i="63"/>
  <c r="DD14" i="63"/>
  <c r="DC14" i="63"/>
  <c r="DB14" i="63"/>
  <c r="DA14" i="63"/>
  <c r="CZ14" i="63"/>
  <c r="CY14" i="63"/>
  <c r="CC14" i="63"/>
  <c r="CB14" i="63"/>
  <c r="BF14" i="63"/>
  <c r="BE14" i="63"/>
  <c r="BD14" i="63"/>
  <c r="BC14" i="63"/>
  <c r="AE14" i="63"/>
  <c r="AD14" i="63"/>
  <c r="AC14" i="63"/>
  <c r="AB14" i="63"/>
  <c r="AA14" i="63"/>
  <c r="Y14" i="63"/>
  <c r="DF13" i="63"/>
  <c r="DE13" i="63"/>
  <c r="DD13" i="63"/>
  <c r="DC13" i="63"/>
  <c r="DB13" i="63"/>
  <c r="DA13" i="63"/>
  <c r="CZ13" i="63"/>
  <c r="CY13" i="63"/>
  <c r="CC13" i="63"/>
  <c r="CB13" i="63"/>
  <c r="BF13" i="63"/>
  <c r="BE13" i="63"/>
  <c r="BD13" i="63"/>
  <c r="BC13" i="63"/>
  <c r="AE13" i="63"/>
  <c r="AD13" i="63"/>
  <c r="AC13" i="63"/>
  <c r="AB13" i="63"/>
  <c r="AA13" i="63"/>
  <c r="Y13" i="63"/>
  <c r="DF12" i="63"/>
  <c r="DE12" i="63"/>
  <c r="DD12" i="63"/>
  <c r="DC12" i="63"/>
  <c r="DB12" i="63"/>
  <c r="DA12" i="63"/>
  <c r="CZ12" i="63"/>
  <c r="CY12" i="63"/>
  <c r="CC12" i="63"/>
  <c r="CB12" i="63"/>
  <c r="BF12" i="63"/>
  <c r="BE12" i="63"/>
  <c r="BD12" i="63"/>
  <c r="BC12" i="63"/>
  <c r="AE12" i="63"/>
  <c r="AD12" i="63"/>
  <c r="AC12" i="63"/>
  <c r="AB12" i="63"/>
  <c r="AA12" i="63"/>
  <c r="Y12" i="63"/>
  <c r="DF11" i="63"/>
  <c r="DE11" i="63"/>
  <c r="DD11" i="63"/>
  <c r="DC11" i="63"/>
  <c r="DB11" i="63"/>
  <c r="DA11" i="63"/>
  <c r="CZ11" i="63"/>
  <c r="CY11" i="63"/>
  <c r="CC11" i="63"/>
  <c r="CB11" i="63"/>
  <c r="BF11" i="63"/>
  <c r="BE11" i="63"/>
  <c r="BD11" i="63"/>
  <c r="BC11" i="63"/>
  <c r="AE11" i="63"/>
  <c r="AD11" i="63"/>
  <c r="AC11" i="63"/>
  <c r="AB11" i="63"/>
  <c r="AA11" i="63"/>
  <c r="DF10" i="63"/>
  <c r="DE10" i="63"/>
  <c r="DD10" i="63"/>
  <c r="DC10" i="63"/>
  <c r="DB10" i="63"/>
  <c r="DA10" i="63"/>
  <c r="CZ10" i="63"/>
  <c r="CY10" i="63"/>
  <c r="CC10" i="63"/>
  <c r="CB10" i="63"/>
  <c r="BF10" i="63"/>
  <c r="BE10" i="63"/>
  <c r="BD10" i="63"/>
  <c r="BC10" i="63"/>
  <c r="AE10" i="63"/>
  <c r="AD10" i="63"/>
  <c r="AC10" i="63"/>
  <c r="AB10" i="63"/>
  <c r="AA10" i="63"/>
  <c r="Y10" i="63"/>
  <c r="DF9" i="63"/>
  <c r="DE9" i="63"/>
  <c r="DD9" i="63"/>
  <c r="DC9" i="63"/>
  <c r="DB9" i="63"/>
  <c r="DA9" i="63"/>
  <c r="CZ9" i="63"/>
  <c r="CY9" i="63"/>
  <c r="CC9" i="63"/>
  <c r="CB9" i="63"/>
  <c r="BF9" i="63"/>
  <c r="BE9" i="63"/>
  <c r="BD9" i="63"/>
  <c r="BC9" i="63"/>
  <c r="AE9" i="63"/>
  <c r="AD9" i="63"/>
  <c r="AC9" i="63"/>
  <c r="AB9" i="63"/>
  <c r="AA9" i="63"/>
  <c r="Y9" i="63"/>
  <c r="A9" i="63"/>
  <c r="CY11" i="41"/>
  <c r="CZ11" i="41"/>
  <c r="DA11" i="41"/>
  <c r="DB11" i="41"/>
  <c r="DC11" i="41"/>
  <c r="DD11" i="41"/>
  <c r="DE11" i="41"/>
  <c r="DF11" i="41"/>
  <c r="CY12" i="41"/>
  <c r="CZ12" i="41"/>
  <c r="DA12" i="41"/>
  <c r="DB12" i="41"/>
  <c r="DC12" i="41"/>
  <c r="DD12" i="41"/>
  <c r="DE12" i="41"/>
  <c r="DF12" i="41"/>
  <c r="CY13" i="41"/>
  <c r="CZ13" i="41"/>
  <c r="DA13" i="41"/>
  <c r="DB13" i="41"/>
  <c r="DC13" i="41"/>
  <c r="DD13" i="41"/>
  <c r="DE13" i="41"/>
  <c r="DF13" i="41"/>
  <c r="CY14" i="41"/>
  <c r="CZ14" i="41"/>
  <c r="DA14" i="41"/>
  <c r="DB14" i="41"/>
  <c r="DC14" i="41"/>
  <c r="DD14" i="41"/>
  <c r="DE14" i="41"/>
  <c r="DF14" i="41"/>
  <c r="CY15" i="41"/>
  <c r="CZ15" i="41"/>
  <c r="DA15" i="41"/>
  <c r="DB15" i="41"/>
  <c r="DC15" i="41"/>
  <c r="DD15" i="41"/>
  <c r="DE15" i="41"/>
  <c r="DF15" i="41"/>
  <c r="CY16" i="41"/>
  <c r="CZ16" i="41"/>
  <c r="DA16" i="41"/>
  <c r="DB16" i="41"/>
  <c r="DC16" i="41"/>
  <c r="DD16" i="41"/>
  <c r="DE16" i="41"/>
  <c r="DF16" i="41"/>
  <c r="CY17" i="41"/>
  <c r="CZ17" i="41"/>
  <c r="DA17" i="41"/>
  <c r="DB17" i="41"/>
  <c r="DC17" i="41"/>
  <c r="DD17" i="41"/>
  <c r="DE17" i="41"/>
  <c r="DF17" i="41"/>
  <c r="CY18" i="41"/>
  <c r="CZ18" i="41"/>
  <c r="DA18" i="41"/>
  <c r="DB18" i="41"/>
  <c r="DC18" i="41"/>
  <c r="DD18" i="41"/>
  <c r="DE18" i="41"/>
  <c r="DF18" i="41"/>
  <c r="CY19" i="41"/>
  <c r="CZ19" i="41"/>
  <c r="DA19" i="41"/>
  <c r="DB19" i="41"/>
  <c r="DC19" i="41"/>
  <c r="DD19" i="41"/>
  <c r="DE19" i="41"/>
  <c r="DF19" i="41"/>
  <c r="CY20" i="41"/>
  <c r="CZ20" i="41"/>
  <c r="DA20" i="41"/>
  <c r="DB20" i="41"/>
  <c r="DC20" i="41"/>
  <c r="DD20" i="41"/>
  <c r="DE20" i="41"/>
  <c r="DF20" i="41"/>
  <c r="CY21" i="41"/>
  <c r="CZ21" i="41"/>
  <c r="DA21" i="41"/>
  <c r="DB21" i="41"/>
  <c r="DC21" i="41"/>
  <c r="DD21" i="41"/>
  <c r="DE21" i="41"/>
  <c r="DF21" i="41"/>
  <c r="CY22" i="41"/>
  <c r="CZ22" i="41"/>
  <c r="DA22" i="41"/>
  <c r="DB22" i="41"/>
  <c r="DC22" i="41"/>
  <c r="DD22" i="41"/>
  <c r="DE22" i="41"/>
  <c r="DF22" i="41"/>
  <c r="CY23" i="41"/>
  <c r="CZ23" i="41"/>
  <c r="DA23" i="41"/>
  <c r="DB23" i="41"/>
  <c r="DC23" i="41"/>
  <c r="DD23" i="41"/>
  <c r="DE23" i="41"/>
  <c r="DF23" i="41"/>
  <c r="CY24" i="41"/>
  <c r="CZ24" i="41"/>
  <c r="DA24" i="41"/>
  <c r="DB24" i="41"/>
  <c r="DC24" i="41"/>
  <c r="DD24" i="41"/>
  <c r="DE24" i="41"/>
  <c r="DF24" i="41"/>
  <c r="CY25" i="41"/>
  <c r="CZ25" i="41"/>
  <c r="DA25" i="41"/>
  <c r="DB25" i="41"/>
  <c r="DC25" i="41"/>
  <c r="DD25" i="41"/>
  <c r="DE25" i="41"/>
  <c r="DF25" i="41"/>
  <c r="CY26" i="41"/>
  <c r="CZ26" i="41"/>
  <c r="DA26" i="41"/>
  <c r="DB26" i="41"/>
  <c r="DC26" i="41"/>
  <c r="DD26" i="41"/>
  <c r="DE26" i="41"/>
  <c r="DF26" i="41"/>
  <c r="CY27" i="41"/>
  <c r="CZ27" i="41"/>
  <c r="DA27" i="41"/>
  <c r="DB27" i="41"/>
  <c r="DC27" i="41"/>
  <c r="DD27" i="41"/>
  <c r="DE27" i="41"/>
  <c r="DF27" i="41"/>
  <c r="CY28" i="41"/>
  <c r="CZ28" i="41"/>
  <c r="DA28" i="41"/>
  <c r="DB28" i="41"/>
  <c r="DC28" i="41"/>
  <c r="DD28" i="41"/>
  <c r="DE28" i="41"/>
  <c r="DF28" i="41"/>
  <c r="CY29" i="41"/>
  <c r="CZ29" i="41"/>
  <c r="DA29" i="41"/>
  <c r="DB29" i="41"/>
  <c r="DC29" i="41"/>
  <c r="DD29" i="41"/>
  <c r="DE29" i="41"/>
  <c r="DF29" i="41"/>
  <c r="CY30" i="41"/>
  <c r="CZ30" i="41"/>
  <c r="DA30" i="41"/>
  <c r="DB30" i="41"/>
  <c r="DC30" i="41"/>
  <c r="DD30" i="41"/>
  <c r="DE30" i="41"/>
  <c r="DF30" i="41"/>
  <c r="CY31" i="41"/>
  <c r="CZ31" i="41"/>
  <c r="DA31" i="41"/>
  <c r="DB31" i="41"/>
  <c r="DC31" i="41"/>
  <c r="DD31" i="41"/>
  <c r="DE31" i="41"/>
  <c r="DF31" i="41"/>
  <c r="CY32" i="41"/>
  <c r="CZ32" i="41"/>
  <c r="DA32" i="41"/>
  <c r="DB32" i="41"/>
  <c r="DC32" i="41"/>
  <c r="DD32" i="41"/>
  <c r="DE32" i="41"/>
  <c r="DF32" i="41"/>
  <c r="CY33" i="41"/>
  <c r="CZ33" i="41"/>
  <c r="DA33" i="41"/>
  <c r="DB33" i="41"/>
  <c r="DC33" i="41"/>
  <c r="DD33" i="41"/>
  <c r="DE33" i="41"/>
  <c r="DF33" i="41"/>
  <c r="CY34" i="41"/>
  <c r="CZ34" i="41"/>
  <c r="DA34" i="41"/>
  <c r="DB34" i="41"/>
  <c r="DC34" i="41"/>
  <c r="DD34" i="41"/>
  <c r="DE34" i="41"/>
  <c r="DF34" i="41"/>
  <c r="CY35" i="41"/>
  <c r="CZ35" i="41"/>
  <c r="DA35" i="41"/>
  <c r="DB35" i="41"/>
  <c r="DC35" i="41"/>
  <c r="DD35" i="41"/>
  <c r="DE35" i="41"/>
  <c r="DF35" i="41"/>
  <c r="CY36" i="41"/>
  <c r="CZ36" i="41"/>
  <c r="DA36" i="41"/>
  <c r="DB36" i="41"/>
  <c r="DC36" i="41"/>
  <c r="DD36" i="41"/>
  <c r="DE36" i="41"/>
  <c r="DF36" i="41"/>
  <c r="CY37" i="41"/>
  <c r="CZ37" i="41"/>
  <c r="DA37" i="41"/>
  <c r="DB37" i="41"/>
  <c r="DC37" i="41"/>
  <c r="DD37" i="41"/>
  <c r="DE37" i="41"/>
  <c r="DF37" i="41"/>
  <c r="CY38" i="41"/>
  <c r="CZ38" i="41"/>
  <c r="DA38" i="41"/>
  <c r="DB38" i="41"/>
  <c r="DC38" i="41"/>
  <c r="DD38" i="41"/>
  <c r="DE38" i="41"/>
  <c r="DF38" i="41"/>
  <c r="CY39" i="41"/>
  <c r="CZ39" i="41"/>
  <c r="DA39" i="41"/>
  <c r="DB39" i="41"/>
  <c r="DC39" i="41"/>
  <c r="DD39" i="41"/>
  <c r="DE39" i="41"/>
  <c r="DF39" i="41"/>
  <c r="CY40" i="41"/>
  <c r="CZ40" i="41"/>
  <c r="DA40" i="41"/>
  <c r="DB40" i="41"/>
  <c r="DC40" i="41"/>
  <c r="DD40" i="41"/>
  <c r="DE40" i="41"/>
  <c r="DF40" i="41"/>
  <c r="DF10" i="41"/>
  <c r="DE10" i="41"/>
  <c r="DD10" i="41"/>
  <c r="DC10" i="41"/>
  <c r="DB10" i="41"/>
  <c r="DA10" i="41"/>
  <c r="CZ10" i="41"/>
  <c r="CY10" i="41"/>
  <c r="AB38" i="68" l="1"/>
  <c r="CB38" i="68"/>
  <c r="DE38" i="68"/>
  <c r="AD38" i="68"/>
  <c r="CY38" i="68"/>
  <c r="CC38" i="68"/>
  <c r="DF38" i="68"/>
  <c r="AA38" i="68"/>
  <c r="BE38" i="68"/>
  <c r="DC38" i="68"/>
  <c r="AC38" i="68"/>
  <c r="BC39" i="63"/>
  <c r="B9" i="73"/>
  <c r="AT3" i="23" s="1"/>
  <c r="AA3" i="25" s="1"/>
  <c r="AS3" i="23"/>
  <c r="Z3" i="25" s="1"/>
  <c r="BC39" i="72"/>
  <c r="B9" i="72"/>
  <c r="AP3" i="23" s="1"/>
  <c r="V3" i="25" s="1"/>
  <c r="AO3" i="23"/>
  <c r="U3" i="25" s="1"/>
  <c r="A10" i="71"/>
  <c r="AK4" i="23" s="1"/>
  <c r="P4" i="25" s="1"/>
  <c r="AK3" i="23"/>
  <c r="P3" i="25" s="1"/>
  <c r="B9" i="70"/>
  <c r="AH3" i="23" s="1"/>
  <c r="L3" i="25" s="1"/>
  <c r="AG3" i="23"/>
  <c r="K3" i="25" s="1"/>
  <c r="A10" i="69"/>
  <c r="AC4" i="23" s="1"/>
  <c r="F4" i="25" s="1"/>
  <c r="AC3" i="23"/>
  <c r="F3" i="25" s="1"/>
  <c r="A10" i="68"/>
  <c r="Y4" i="23" s="1"/>
  <c r="A4" i="25" s="1"/>
  <c r="Y3" i="23"/>
  <c r="A3" i="25" s="1"/>
  <c r="B9" i="67"/>
  <c r="V3" i="23" s="1"/>
  <c r="AA3" i="24" s="1"/>
  <c r="U3" i="23"/>
  <c r="Z3" i="24" s="1"/>
  <c r="A10" i="66"/>
  <c r="Q3" i="23"/>
  <c r="U3" i="24" s="1"/>
  <c r="B9" i="65"/>
  <c r="N3" i="23" s="1"/>
  <c r="Q3" i="24" s="1"/>
  <c r="M3" i="23"/>
  <c r="P3" i="24" s="1"/>
  <c r="A10" i="64"/>
  <c r="I4" i="23" s="1"/>
  <c r="K4" i="24" s="1"/>
  <c r="I3" i="23"/>
  <c r="K3" i="24" s="1"/>
  <c r="A10" i="63"/>
  <c r="E3" i="23"/>
  <c r="F3" i="24" s="1"/>
  <c r="H45" i="68"/>
  <c r="A87" i="67"/>
  <c r="H47" i="64"/>
  <c r="CV9" i="70"/>
  <c r="CI9" i="70"/>
  <c r="CL9" i="70"/>
  <c r="CG9" i="70"/>
  <c r="CK9" i="70"/>
  <c r="CM9" i="70"/>
  <c r="CQ9" i="73"/>
  <c r="CM9" i="73"/>
  <c r="CL9" i="73"/>
  <c r="CK9" i="73"/>
  <c r="CG9" i="73"/>
  <c r="CI9" i="73"/>
  <c r="CJ9" i="73"/>
  <c r="CV9" i="67"/>
  <c r="CI9" i="67"/>
  <c r="CK9" i="67"/>
  <c r="CG9" i="67"/>
  <c r="CJ9" i="67"/>
  <c r="CQ9" i="67"/>
  <c r="CM9" i="67"/>
  <c r="CL9" i="67"/>
  <c r="CM9" i="72"/>
  <c r="CL9" i="72"/>
  <c r="CQ9" i="72"/>
  <c r="CJ9" i="72"/>
  <c r="CI9" i="72"/>
  <c r="CI9" i="65"/>
  <c r="CJ9" i="65"/>
  <c r="CG9" i="65"/>
  <c r="CM9" i="65"/>
  <c r="CL9" i="65"/>
  <c r="CQ9" i="65"/>
  <c r="D77" i="67"/>
  <c r="D77" i="66"/>
  <c r="D76" i="65"/>
  <c r="B10" i="71"/>
  <c r="BD40" i="64"/>
  <c r="BC39" i="65"/>
  <c r="BF40" i="64"/>
  <c r="AB40" i="64"/>
  <c r="CB40" i="64"/>
  <c r="AC40" i="64"/>
  <c r="CC40" i="64"/>
  <c r="AD40" i="64"/>
  <c r="AE40" i="64"/>
  <c r="BE40" i="64"/>
  <c r="AA40" i="64"/>
  <c r="CZ40" i="64"/>
  <c r="CY40" i="64"/>
  <c r="F52" i="50"/>
  <c r="BE39" i="65"/>
  <c r="AD39" i="63"/>
  <c r="A10" i="70"/>
  <c r="B9" i="69"/>
  <c r="B9" i="66"/>
  <c r="B9" i="64"/>
  <c r="J3" i="23" s="1"/>
  <c r="L3" i="24" s="1"/>
  <c r="CZ39" i="65"/>
  <c r="DF39" i="63"/>
  <c r="DB39" i="65"/>
  <c r="DG14" i="65"/>
  <c r="DF40" i="64"/>
  <c r="DG26" i="72"/>
  <c r="DG34" i="72"/>
  <c r="DD40" i="64"/>
  <c r="DG17" i="65"/>
  <c r="DG33" i="65"/>
  <c r="DG37" i="65"/>
  <c r="DG18" i="66"/>
  <c r="DG16" i="67"/>
  <c r="DG33" i="70"/>
  <c r="DG26" i="63"/>
  <c r="DG23" i="65"/>
  <c r="DG27" i="65"/>
  <c r="DG38" i="67"/>
  <c r="DG30" i="64"/>
  <c r="DG30" i="63"/>
  <c r="DG20" i="65"/>
  <c r="DG24" i="65"/>
  <c r="DG36" i="65"/>
  <c r="DG10" i="66"/>
  <c r="DG24" i="67"/>
  <c r="DG12" i="64"/>
  <c r="DG23" i="64"/>
  <c r="DG10" i="73"/>
  <c r="DG10" i="63"/>
  <c r="DG14" i="63"/>
  <c r="DG17" i="63"/>
  <c r="DG27" i="64"/>
  <c r="DG31" i="64"/>
  <c r="DG13" i="66"/>
  <c r="DG19" i="67"/>
  <c r="DG23" i="67"/>
  <c r="DG31" i="71"/>
  <c r="DG11" i="64"/>
  <c r="DG18" i="64"/>
  <c r="DG26" i="64"/>
  <c r="DG16" i="66"/>
  <c r="DG16" i="73"/>
  <c r="DG24" i="73"/>
  <c r="DG34" i="64"/>
  <c r="DG38" i="64"/>
  <c r="DG11" i="65"/>
  <c r="DG18" i="65"/>
  <c r="DG22" i="65"/>
  <c r="DG26" i="65"/>
  <c r="DG11" i="67"/>
  <c r="DG18" i="67"/>
  <c r="DG22" i="67"/>
  <c r="DG16" i="72"/>
  <c r="DG27" i="66"/>
  <c r="DG31" i="66"/>
  <c r="DG11" i="69"/>
  <c r="DG19" i="73"/>
  <c r="DG37" i="64"/>
  <c r="DG10" i="65"/>
  <c r="DG25" i="65"/>
  <c r="DG29" i="65"/>
  <c r="DG26" i="70"/>
  <c r="DG10" i="71"/>
  <c r="DG13" i="64"/>
  <c r="DG16" i="64"/>
  <c r="DG24" i="64"/>
  <c r="DG14" i="68"/>
  <c r="DG37" i="70"/>
  <c r="DG30" i="70"/>
  <c r="DG23" i="70"/>
  <c r="DG11" i="73"/>
  <c r="DG37" i="72"/>
  <c r="DG13" i="72"/>
  <c r="DG23" i="71"/>
  <c r="DG18" i="68"/>
  <c r="DG12" i="70"/>
  <c r="DG12" i="73"/>
  <c r="DG15" i="73"/>
  <c r="AB40" i="73"/>
  <c r="CB40" i="73"/>
  <c r="DG18" i="73"/>
  <c r="DG14" i="73"/>
  <c r="DG17" i="73"/>
  <c r="DG23" i="73"/>
  <c r="DG25" i="73"/>
  <c r="DG20" i="73"/>
  <c r="DG27" i="73"/>
  <c r="DG26" i="73"/>
  <c r="BC40" i="73"/>
  <c r="CZ40" i="73"/>
  <c r="DG29" i="73"/>
  <c r="DG28" i="73"/>
  <c r="DF40" i="73"/>
  <c r="DG34" i="73"/>
  <c r="A87" i="73"/>
  <c r="BD40" i="73"/>
  <c r="DG37" i="73"/>
  <c r="DG38" i="73"/>
  <c r="AC40" i="73"/>
  <c r="DE40" i="73"/>
  <c r="AD40" i="73"/>
  <c r="CY40" i="73"/>
  <c r="AE40" i="73"/>
  <c r="DG38" i="72"/>
  <c r="DG36" i="72"/>
  <c r="DG35" i="72"/>
  <c r="DG25" i="72"/>
  <c r="DG29" i="72"/>
  <c r="AE39" i="72"/>
  <c r="CY39" i="72"/>
  <c r="DG24" i="72"/>
  <c r="DG23" i="72"/>
  <c r="DG27" i="72"/>
  <c r="CZ39" i="72"/>
  <c r="BE39" i="72"/>
  <c r="DG19" i="72"/>
  <c r="DG20" i="72"/>
  <c r="A86" i="72"/>
  <c r="AB39" i="72"/>
  <c r="CB39" i="72"/>
  <c r="DD39" i="72"/>
  <c r="DG17" i="72"/>
  <c r="AD39" i="72"/>
  <c r="DG12" i="72"/>
  <c r="CC39" i="72"/>
  <c r="DE39" i="72"/>
  <c r="AA39" i="72"/>
  <c r="DC39" i="72"/>
  <c r="DG11" i="72"/>
  <c r="BD39" i="72"/>
  <c r="DA39" i="72"/>
  <c r="DG10" i="72"/>
  <c r="DG34" i="71"/>
  <c r="DG37" i="71"/>
  <c r="DG36" i="71"/>
  <c r="DG26" i="71"/>
  <c r="DG30" i="71"/>
  <c r="DG24" i="71"/>
  <c r="DG17" i="71"/>
  <c r="BC40" i="71"/>
  <c r="DG21" i="71"/>
  <c r="DG20" i="71"/>
  <c r="DG18" i="71"/>
  <c r="DG15" i="71"/>
  <c r="AC40" i="71"/>
  <c r="DE40" i="71"/>
  <c r="DG14" i="71"/>
  <c r="DF40" i="71"/>
  <c r="DG13" i="71"/>
  <c r="AB40" i="71"/>
  <c r="DD40" i="71"/>
  <c r="DG12" i="71"/>
  <c r="AA40" i="71"/>
  <c r="DC40" i="71"/>
  <c r="BD40" i="71"/>
  <c r="AE40" i="71"/>
  <c r="DG36" i="70"/>
  <c r="DG35" i="70"/>
  <c r="DG25" i="70"/>
  <c r="DG20" i="70"/>
  <c r="DG21" i="70"/>
  <c r="DG19" i="70"/>
  <c r="DG18" i="70"/>
  <c r="DG17" i="70"/>
  <c r="A86" i="70"/>
  <c r="DG22" i="70"/>
  <c r="DG16" i="70"/>
  <c r="DG15" i="70"/>
  <c r="DD39" i="70"/>
  <c r="DG14" i="70"/>
  <c r="BC39" i="70"/>
  <c r="CZ39" i="70"/>
  <c r="DG11" i="70"/>
  <c r="AD39" i="70"/>
  <c r="DE39" i="70"/>
  <c r="DG10" i="70"/>
  <c r="AE39" i="70"/>
  <c r="BD39" i="70"/>
  <c r="DA39" i="70"/>
  <c r="BE39" i="70"/>
  <c r="DG39" i="69"/>
  <c r="DG37" i="69"/>
  <c r="DG32" i="69"/>
  <c r="DG36" i="69"/>
  <c r="DG35" i="69"/>
  <c r="DG34" i="69"/>
  <c r="DG27" i="69"/>
  <c r="CB40" i="69"/>
  <c r="DG25" i="69"/>
  <c r="DG29" i="69"/>
  <c r="DG28" i="69"/>
  <c r="DG18" i="69"/>
  <c r="A87" i="69"/>
  <c r="DG17" i="69"/>
  <c r="DG16" i="69"/>
  <c r="DG21" i="69"/>
  <c r="DG19" i="69"/>
  <c r="DG12" i="69"/>
  <c r="DG10" i="69"/>
  <c r="AD40" i="69"/>
  <c r="DF40" i="69"/>
  <c r="CY40" i="69"/>
  <c r="CZ40" i="69"/>
  <c r="BD40" i="69"/>
  <c r="AC40" i="69"/>
  <c r="DG30" i="68"/>
  <c r="DG33" i="68"/>
  <c r="DG28" i="68"/>
  <c r="DG27" i="68"/>
  <c r="DG22" i="68"/>
  <c r="DG21" i="68"/>
  <c r="DG25" i="68"/>
  <c r="DG24" i="68"/>
  <c r="DG23" i="68"/>
  <c r="DG16" i="68"/>
  <c r="DG15" i="68"/>
  <c r="DG10" i="68"/>
  <c r="DG17" i="66"/>
  <c r="DG36" i="67"/>
  <c r="DG34" i="67"/>
  <c r="DG37" i="67"/>
  <c r="DA40" i="67"/>
  <c r="DG27" i="67"/>
  <c r="AA40" i="67"/>
  <c r="DG26" i="67"/>
  <c r="DG30" i="67"/>
  <c r="AC40" i="67"/>
  <c r="CC40" i="67"/>
  <c r="DE40" i="67"/>
  <c r="DG25" i="67"/>
  <c r="DG29" i="67"/>
  <c r="AE40" i="67"/>
  <c r="CY40" i="67"/>
  <c r="DG21" i="67"/>
  <c r="DG17" i="67"/>
  <c r="DF40" i="67"/>
  <c r="DG15" i="67"/>
  <c r="DG14" i="67"/>
  <c r="DG13" i="67"/>
  <c r="BE40" i="67"/>
  <c r="DG12" i="67"/>
  <c r="AB40" i="67"/>
  <c r="CB40" i="67"/>
  <c r="DD40" i="67"/>
  <c r="DG10" i="67"/>
  <c r="AB40" i="66"/>
  <c r="CB40" i="66"/>
  <c r="DG34" i="66"/>
  <c r="DG38" i="66"/>
  <c r="DG36" i="66"/>
  <c r="DG26" i="66"/>
  <c r="DG30" i="66"/>
  <c r="DG25" i="66"/>
  <c r="DG28" i="66"/>
  <c r="CY40" i="66"/>
  <c r="DG22" i="66"/>
  <c r="BC40" i="66"/>
  <c r="CZ40" i="66"/>
  <c r="DG21" i="66"/>
  <c r="BE40" i="66"/>
  <c r="DB40" i="66"/>
  <c r="DG20" i="66"/>
  <c r="DG19" i="66"/>
  <c r="A87" i="66"/>
  <c r="AD40" i="66"/>
  <c r="DF40" i="66"/>
  <c r="BD40" i="66"/>
  <c r="DA40" i="66"/>
  <c r="AC40" i="66"/>
  <c r="CC40" i="66"/>
  <c r="DE40" i="66"/>
  <c r="DG14" i="66"/>
  <c r="BF40" i="66"/>
  <c r="DG11" i="66"/>
  <c r="AE40" i="66"/>
  <c r="DG35" i="65"/>
  <c r="BD39" i="65"/>
  <c r="DA39" i="65"/>
  <c r="DG31" i="65"/>
  <c r="DG21" i="65"/>
  <c r="A86" i="65"/>
  <c r="CY39" i="65"/>
  <c r="DG15" i="65"/>
  <c r="BF39" i="65"/>
  <c r="CC39" i="65"/>
  <c r="DG13" i="65"/>
  <c r="AD39" i="65"/>
  <c r="DG12" i="65"/>
  <c r="CB39" i="65"/>
  <c r="DD39" i="65"/>
  <c r="AE39" i="65"/>
  <c r="DG36" i="64"/>
  <c r="DG29" i="64"/>
  <c r="DG22" i="64"/>
  <c r="DC40" i="64"/>
  <c r="DG21" i="64"/>
  <c r="A87" i="64"/>
  <c r="DG20" i="64"/>
  <c r="DG19" i="64"/>
  <c r="DG15" i="64"/>
  <c r="DG14" i="64"/>
  <c r="DE40" i="64"/>
  <c r="DG10" i="64"/>
  <c r="A10" i="65"/>
  <c r="A10" i="67"/>
  <c r="AS9" i="70"/>
  <c r="CF9" i="70"/>
  <c r="BL9" i="70"/>
  <c r="B9" i="71"/>
  <c r="AL3" i="23" s="1"/>
  <c r="Q3" i="25" s="1"/>
  <c r="A10" i="73"/>
  <c r="AT9" i="70"/>
  <c r="BM9" i="70"/>
  <c r="BT9" i="70"/>
  <c r="CH9" i="70"/>
  <c r="BU9" i="70"/>
  <c r="AG9" i="70"/>
  <c r="BX9" i="70"/>
  <c r="CP9" i="70"/>
  <c r="AJ9" i="70"/>
  <c r="BY9" i="70"/>
  <c r="AO9" i="70"/>
  <c r="BJ9" i="70"/>
  <c r="CR9" i="70"/>
  <c r="AR9" i="70"/>
  <c r="BK9" i="70"/>
  <c r="CS9" i="70"/>
  <c r="AC39" i="63"/>
  <c r="DE39" i="63"/>
  <c r="CV9" i="73"/>
  <c r="CN9" i="73"/>
  <c r="CF9" i="73"/>
  <c r="BX9" i="73"/>
  <c r="BP9" i="73"/>
  <c r="BH9" i="73"/>
  <c r="AZ9" i="73"/>
  <c r="AR9" i="73"/>
  <c r="AJ9" i="73"/>
  <c r="CU9" i="73"/>
  <c r="CE9" i="73"/>
  <c r="BW9" i="73"/>
  <c r="BO9" i="73"/>
  <c r="BG9" i="73"/>
  <c r="AY9" i="73"/>
  <c r="AQ9" i="73"/>
  <c r="AI9" i="73"/>
  <c r="CT9" i="73"/>
  <c r="CD9" i="73"/>
  <c r="BV9" i="73"/>
  <c r="BN9" i="73"/>
  <c r="AX9" i="73"/>
  <c r="AP9" i="73"/>
  <c r="AH9" i="73"/>
  <c r="CS9" i="73"/>
  <c r="BU9" i="73"/>
  <c r="BM9" i="73"/>
  <c r="AW9" i="73"/>
  <c r="AO9" i="73"/>
  <c r="AG9" i="73"/>
  <c r="CR9" i="73"/>
  <c r="BT9" i="73"/>
  <c r="BL9" i="73"/>
  <c r="AV9" i="73"/>
  <c r="AN9" i="73"/>
  <c r="BS9" i="73"/>
  <c r="BK9" i="73"/>
  <c r="AU9" i="73"/>
  <c r="AM9" i="73"/>
  <c r="CP9" i="73"/>
  <c r="CH9" i="73"/>
  <c r="BZ9" i="73"/>
  <c r="BR9" i="73"/>
  <c r="BJ9" i="73"/>
  <c r="AT9" i="73"/>
  <c r="AL9" i="73"/>
  <c r="CW9" i="73"/>
  <c r="CO9" i="73"/>
  <c r="BY9" i="73"/>
  <c r="BQ9" i="73"/>
  <c r="BI9" i="73"/>
  <c r="AS9" i="73"/>
  <c r="AK9" i="73"/>
  <c r="D9" i="73"/>
  <c r="DG13" i="73"/>
  <c r="DG9" i="73"/>
  <c r="BE40" i="73"/>
  <c r="CC40" i="73"/>
  <c r="DA40" i="73"/>
  <c r="BF40" i="73"/>
  <c r="DB40" i="73"/>
  <c r="DC40" i="73"/>
  <c r="AA40" i="73"/>
  <c r="DD40" i="73"/>
  <c r="DG21" i="73"/>
  <c r="DG22" i="73"/>
  <c r="DG30" i="73"/>
  <c r="DG36" i="73"/>
  <c r="DG32" i="73"/>
  <c r="DG31" i="73"/>
  <c r="DG35" i="73"/>
  <c r="DG39" i="73"/>
  <c r="D77" i="73"/>
  <c r="D78" i="73" s="1"/>
  <c r="Y76" i="73"/>
  <c r="DG33" i="73"/>
  <c r="H47" i="73"/>
  <c r="CP9" i="72"/>
  <c r="CH9" i="72"/>
  <c r="BZ9" i="72"/>
  <c r="BR9" i="72"/>
  <c r="AT9" i="72"/>
  <c r="AL9" i="72"/>
  <c r="CW9" i="72"/>
  <c r="CO9" i="72"/>
  <c r="BQ9" i="72"/>
  <c r="BI9" i="72"/>
  <c r="AS9" i="72"/>
  <c r="AK9" i="72"/>
  <c r="D9" i="72"/>
  <c r="CN9" i="72"/>
  <c r="CF9" i="72"/>
  <c r="BX9" i="72"/>
  <c r="BP9" i="72"/>
  <c r="BH9" i="72"/>
  <c r="AZ9" i="72"/>
  <c r="AR9" i="72"/>
  <c r="AJ9" i="72"/>
  <c r="CU9" i="72"/>
  <c r="CE9" i="72"/>
  <c r="BW9" i="72"/>
  <c r="BO9" i="72"/>
  <c r="BG9" i="72"/>
  <c r="AY9" i="72"/>
  <c r="AQ9" i="72"/>
  <c r="AI9" i="72"/>
  <c r="CT9" i="72"/>
  <c r="CD9" i="72"/>
  <c r="BV9" i="72"/>
  <c r="BN9" i="72"/>
  <c r="AX9" i="72"/>
  <c r="AP9" i="72"/>
  <c r="AH9" i="72"/>
  <c r="CS9" i="72"/>
  <c r="BU9" i="72"/>
  <c r="BM9" i="72"/>
  <c r="AW9" i="72"/>
  <c r="AO9" i="72"/>
  <c r="AG9" i="72"/>
  <c r="CR9" i="72"/>
  <c r="BT9" i="72"/>
  <c r="BL9" i="72"/>
  <c r="AV9" i="72"/>
  <c r="AN9" i="72"/>
  <c r="BS9" i="72"/>
  <c r="BK9" i="72"/>
  <c r="AU9" i="72"/>
  <c r="AM9" i="72"/>
  <c r="DG9" i="72"/>
  <c r="A10" i="72"/>
  <c r="AO4" i="23" s="1"/>
  <c r="U4" i="25" s="1"/>
  <c r="DG14" i="72"/>
  <c r="BF39" i="72"/>
  <c r="DB39" i="72"/>
  <c r="DG18" i="72"/>
  <c r="DG15" i="72"/>
  <c r="AC39" i="72"/>
  <c r="DF39" i="72"/>
  <c r="DG22" i="72"/>
  <c r="DG21" i="72"/>
  <c r="DG30" i="72"/>
  <c r="DG28" i="72"/>
  <c r="DG31" i="72"/>
  <c r="DG33" i="72"/>
  <c r="DG32" i="72"/>
  <c r="D76" i="72"/>
  <c r="H46" i="72"/>
  <c r="AV10" i="71"/>
  <c r="AL10" i="71"/>
  <c r="BM10" i="71"/>
  <c r="BI10" i="71"/>
  <c r="AS10" i="71"/>
  <c r="BX10" i="71"/>
  <c r="BP10" i="71"/>
  <c r="AZ10" i="71"/>
  <c r="AR10" i="71"/>
  <c r="AJ10" i="71"/>
  <c r="AY10" i="71"/>
  <c r="AQ10" i="71"/>
  <c r="CD10" i="71"/>
  <c r="BV10" i="71"/>
  <c r="AH10" i="71"/>
  <c r="AN10" i="71"/>
  <c r="BS10" i="71"/>
  <c r="AO10" i="71"/>
  <c r="BT10" i="71"/>
  <c r="A11" i="71"/>
  <c r="AK5" i="23" s="1"/>
  <c r="P5" i="25" s="1"/>
  <c r="CB40" i="71"/>
  <c r="BU10" i="71"/>
  <c r="AD40" i="71"/>
  <c r="AU10" i="71"/>
  <c r="BJ10" i="71"/>
  <c r="BZ10" i="71"/>
  <c r="DG11" i="71"/>
  <c r="DG16" i="71"/>
  <c r="CY40" i="71"/>
  <c r="DG9" i="71"/>
  <c r="CZ40" i="71"/>
  <c r="BE40" i="71"/>
  <c r="CC40" i="71"/>
  <c r="DA40" i="71"/>
  <c r="BF40" i="71"/>
  <c r="DB40" i="71"/>
  <c r="DG19" i="71"/>
  <c r="DG25" i="71"/>
  <c r="DG28" i="71"/>
  <c r="DG22" i="71"/>
  <c r="DG27" i="71"/>
  <c r="DG29" i="71"/>
  <c r="DG38" i="71"/>
  <c r="DG32" i="71"/>
  <c r="DG39" i="71"/>
  <c r="DG33" i="71"/>
  <c r="D77" i="71"/>
  <c r="DG35" i="71"/>
  <c r="H47" i="71"/>
  <c r="AK9" i="70"/>
  <c r="AU9" i="70"/>
  <c r="BP9" i="70"/>
  <c r="BZ9" i="70"/>
  <c r="DG13" i="70"/>
  <c r="CU9" i="70"/>
  <c r="CE9" i="70"/>
  <c r="BW9" i="70"/>
  <c r="BO9" i="70"/>
  <c r="BG9" i="70"/>
  <c r="AY9" i="70"/>
  <c r="AQ9" i="70"/>
  <c r="AI9" i="70"/>
  <c r="CT9" i="70"/>
  <c r="CD9" i="70"/>
  <c r="BV9" i="70"/>
  <c r="BN9" i="70"/>
  <c r="AX9" i="70"/>
  <c r="AP9" i="70"/>
  <c r="AH9" i="70"/>
  <c r="AA39" i="70"/>
  <c r="AL9" i="70"/>
  <c r="AV9" i="70"/>
  <c r="BQ9" i="70"/>
  <c r="CW9" i="70"/>
  <c r="D9" i="70"/>
  <c r="AB39" i="70"/>
  <c r="AM9" i="70"/>
  <c r="AW9" i="70"/>
  <c r="BH9" i="70"/>
  <c r="BR9" i="70"/>
  <c r="CB39" i="70"/>
  <c r="CN9" i="70"/>
  <c r="DF39" i="70"/>
  <c r="D75" i="68"/>
  <c r="AC39" i="70"/>
  <c r="AN9" i="70"/>
  <c r="AZ9" i="70"/>
  <c r="BI9" i="70"/>
  <c r="BS9" i="70"/>
  <c r="CC39" i="70"/>
  <c r="CO9" i="70"/>
  <c r="CY39" i="70"/>
  <c r="DG9" i="70"/>
  <c r="DG24" i="70"/>
  <c r="BF39" i="70"/>
  <c r="DB39" i="70"/>
  <c r="DC39" i="70"/>
  <c r="DG28" i="70"/>
  <c r="DG27" i="70"/>
  <c r="DG29" i="70"/>
  <c r="DG32" i="70"/>
  <c r="DG38" i="70"/>
  <c r="DG31" i="70"/>
  <c r="DG34" i="70"/>
  <c r="D76" i="70"/>
  <c r="Y75" i="70"/>
  <c r="H46" i="70"/>
  <c r="DG9" i="69"/>
  <c r="A11" i="69"/>
  <c r="AC5" i="23" s="1"/>
  <c r="F5" i="25" s="1"/>
  <c r="B10" i="69"/>
  <c r="AD4" i="23" s="1"/>
  <c r="G4" i="25" s="1"/>
  <c r="AE40" i="69"/>
  <c r="DG13" i="69"/>
  <c r="DG14" i="69"/>
  <c r="BC40" i="69"/>
  <c r="DG15" i="69"/>
  <c r="BE40" i="69"/>
  <c r="BM9" i="69"/>
  <c r="CC40" i="69"/>
  <c r="DA40" i="69"/>
  <c r="BF40" i="69"/>
  <c r="BV9" i="69"/>
  <c r="DB40" i="69"/>
  <c r="DG23" i="69"/>
  <c r="AY9" i="69"/>
  <c r="BG9" i="69"/>
  <c r="DC40" i="69"/>
  <c r="DG22" i="69"/>
  <c r="AA40" i="69"/>
  <c r="AJ9" i="69"/>
  <c r="CV9" i="69"/>
  <c r="DD40" i="69"/>
  <c r="AB40" i="69"/>
  <c r="CO9" i="69"/>
  <c r="CW9" i="69"/>
  <c r="DE40" i="69"/>
  <c r="DG20" i="69"/>
  <c r="DG26" i="69"/>
  <c r="DG24" i="69"/>
  <c r="DG30" i="69"/>
  <c r="DG31" i="69"/>
  <c r="DG38" i="69"/>
  <c r="D77" i="69"/>
  <c r="H47" i="69"/>
  <c r="DG33" i="69"/>
  <c r="DG9" i="68"/>
  <c r="DG19" i="68"/>
  <c r="A11" i="68"/>
  <c r="Y5" i="23" s="1"/>
  <c r="A5" i="25" s="1"/>
  <c r="B9" i="68"/>
  <c r="DG13" i="68"/>
  <c r="DG11" i="68"/>
  <c r="DG12" i="68"/>
  <c r="DG17" i="68"/>
  <c r="DG20" i="68"/>
  <c r="DG29" i="68"/>
  <c r="DG26" i="68"/>
  <c r="DG32" i="68"/>
  <c r="DG31" i="68"/>
  <c r="DG34" i="68"/>
  <c r="AK9" i="67"/>
  <c r="AU9" i="67"/>
  <c r="BP9" i="67"/>
  <c r="BZ9" i="67"/>
  <c r="CU9" i="67"/>
  <c r="CE9" i="67"/>
  <c r="BW9" i="67"/>
  <c r="BO9" i="67"/>
  <c r="BG9" i="67"/>
  <c r="AY9" i="67"/>
  <c r="AQ9" i="67"/>
  <c r="AI9" i="67"/>
  <c r="CT9" i="67"/>
  <c r="CD9" i="67"/>
  <c r="BV9" i="67"/>
  <c r="BN9" i="67"/>
  <c r="AX9" i="67"/>
  <c r="AP9" i="67"/>
  <c r="AH9" i="67"/>
  <c r="AL9" i="67"/>
  <c r="AV9" i="67"/>
  <c r="BQ9" i="67"/>
  <c r="CW9" i="67"/>
  <c r="D9" i="67"/>
  <c r="X3" i="23" s="1"/>
  <c r="AD3" i="24" s="1"/>
  <c r="AM9" i="67"/>
  <c r="AW9" i="67"/>
  <c r="BH9" i="67"/>
  <c r="BR9" i="67"/>
  <c r="CN9" i="67"/>
  <c r="AN9" i="67"/>
  <c r="AZ9" i="67"/>
  <c r="BI9" i="67"/>
  <c r="BS9" i="67"/>
  <c r="CO9" i="67"/>
  <c r="DG9" i="67"/>
  <c r="AD40" i="67"/>
  <c r="AO9" i="67"/>
  <c r="BJ9" i="67"/>
  <c r="BT9" i="67"/>
  <c r="CF9" i="67"/>
  <c r="CP9" i="67"/>
  <c r="CZ40" i="67"/>
  <c r="AR9" i="67"/>
  <c r="BK9" i="67"/>
  <c r="BU9" i="67"/>
  <c r="AG9" i="67"/>
  <c r="AS9" i="67"/>
  <c r="BC40" i="67"/>
  <c r="BL9" i="67"/>
  <c r="BX9" i="67"/>
  <c r="CH9" i="67"/>
  <c r="CR9" i="67"/>
  <c r="AJ9" i="67"/>
  <c r="AT9" i="67"/>
  <c r="BD40" i="67"/>
  <c r="BM9" i="67"/>
  <c r="BY9" i="67"/>
  <c r="CS9" i="67"/>
  <c r="DG20" i="67"/>
  <c r="BF40" i="67"/>
  <c r="DB40" i="67"/>
  <c r="DC40" i="67"/>
  <c r="DG31" i="67"/>
  <c r="DG28" i="67"/>
  <c r="DG39" i="67"/>
  <c r="DG32" i="67"/>
  <c r="DG35" i="67"/>
  <c r="DG33" i="67"/>
  <c r="H47" i="67"/>
  <c r="DG9" i="66"/>
  <c r="B10" i="66"/>
  <c r="R4" i="23" s="1"/>
  <c r="V4" i="24" s="1"/>
  <c r="DC40" i="66"/>
  <c r="AA40" i="66"/>
  <c r="DD40" i="66"/>
  <c r="DG12" i="66"/>
  <c r="DG15" i="66"/>
  <c r="DG24" i="66"/>
  <c r="DG23" i="66"/>
  <c r="DG33" i="66"/>
  <c r="DG37" i="66"/>
  <c r="DG29" i="66"/>
  <c r="DG39" i="66"/>
  <c r="DG32" i="66"/>
  <c r="DG35" i="66"/>
  <c r="H47" i="66"/>
  <c r="CP9" i="65"/>
  <c r="CH9" i="65"/>
  <c r="BZ9" i="65"/>
  <c r="BR9" i="65"/>
  <c r="BJ9" i="65"/>
  <c r="AT9" i="65"/>
  <c r="AL9" i="65"/>
  <c r="CW9" i="65"/>
  <c r="CO9" i="65"/>
  <c r="BY9" i="65"/>
  <c r="BQ9" i="65"/>
  <c r="BI9" i="65"/>
  <c r="AS9" i="65"/>
  <c r="AK9" i="65"/>
  <c r="D9" i="65"/>
  <c r="P3" i="23" s="1"/>
  <c r="T3" i="24" s="1"/>
  <c r="CU9" i="65"/>
  <c r="BW9" i="65"/>
  <c r="BO9" i="65"/>
  <c r="BG9" i="65"/>
  <c r="CT9" i="65"/>
  <c r="CD9" i="65"/>
  <c r="BV9" i="65"/>
  <c r="BN9" i="65"/>
  <c r="CV9" i="65"/>
  <c r="BP9" i="65"/>
  <c r="AQ9" i="65"/>
  <c r="AG9" i="65"/>
  <c r="CS9" i="65"/>
  <c r="BM9" i="65"/>
  <c r="AZ9" i="65"/>
  <c r="AP9" i="65"/>
  <c r="CR9" i="65"/>
  <c r="BL9" i="65"/>
  <c r="AY9" i="65"/>
  <c r="AO9" i="65"/>
  <c r="BK9" i="65"/>
  <c r="AX9" i="65"/>
  <c r="AN9" i="65"/>
  <c r="CN9" i="65"/>
  <c r="BX9" i="65"/>
  <c r="AW9" i="65"/>
  <c r="AM9" i="65"/>
  <c r="BU9" i="65"/>
  <c r="AV9" i="65"/>
  <c r="AJ9" i="65"/>
  <c r="BT9" i="65"/>
  <c r="AU9" i="65"/>
  <c r="AI9" i="65"/>
  <c r="BS9" i="65"/>
  <c r="AR9" i="65"/>
  <c r="AH9" i="65"/>
  <c r="AA39" i="65"/>
  <c r="DC39" i="65"/>
  <c r="DG16" i="65"/>
  <c r="AB39" i="65"/>
  <c r="DE39" i="65"/>
  <c r="AC39" i="65"/>
  <c r="DF39" i="65"/>
  <c r="DG19" i="65"/>
  <c r="DG9" i="65"/>
  <c r="DG28" i="65"/>
  <c r="DG30" i="65"/>
  <c r="DG32" i="65"/>
  <c r="DG38" i="65"/>
  <c r="DG34" i="65"/>
  <c r="H46" i="65"/>
  <c r="B10" i="64"/>
  <c r="J4" i="23" s="1"/>
  <c r="L4" i="24" s="1"/>
  <c r="A11" i="64"/>
  <c r="I5" i="23" s="1"/>
  <c r="K5" i="24" s="1"/>
  <c r="DG9" i="64"/>
  <c r="DA40" i="64"/>
  <c r="DG17" i="64"/>
  <c r="DB40" i="64"/>
  <c r="DG25" i="64"/>
  <c r="DG28" i="64"/>
  <c r="DG32" i="64"/>
  <c r="DG39" i="64"/>
  <c r="DG33" i="64"/>
  <c r="DG35" i="64"/>
  <c r="D77" i="64"/>
  <c r="DG23" i="63"/>
  <c r="DG27" i="63"/>
  <c r="DG9" i="63"/>
  <c r="DG13" i="63"/>
  <c r="DG12" i="63"/>
  <c r="DG15" i="63"/>
  <c r="DG20" i="63"/>
  <c r="DG21" i="63"/>
  <c r="DG25" i="63"/>
  <c r="DG19" i="63"/>
  <c r="DG22" i="63"/>
  <c r="AA39" i="63"/>
  <c r="DC39" i="63"/>
  <c r="DG11" i="63"/>
  <c r="DG18" i="63"/>
  <c r="DG24" i="63"/>
  <c r="AB39" i="63"/>
  <c r="DD39" i="63"/>
  <c r="B9" i="63"/>
  <c r="A11" i="63"/>
  <c r="E5" i="23" s="1"/>
  <c r="F5" i="24" s="1"/>
  <c r="CY39" i="63"/>
  <c r="BD39" i="63"/>
  <c r="AE39" i="63"/>
  <c r="CZ39" i="63"/>
  <c r="BE39" i="63"/>
  <c r="CC39" i="63"/>
  <c r="DA39" i="63"/>
  <c r="CB39" i="63"/>
  <c r="BF39" i="63"/>
  <c r="DB39" i="63"/>
  <c r="DG16" i="63"/>
  <c r="DG28" i="63"/>
  <c r="DG29" i="63"/>
  <c r="DG36" i="63"/>
  <c r="DG32" i="63"/>
  <c r="DG31" i="63"/>
  <c r="DG34" i="63"/>
  <c r="DG37" i="63"/>
  <c r="DG38" i="63"/>
  <c r="DG35" i="63"/>
  <c r="DG33" i="63"/>
  <c r="D76" i="63"/>
  <c r="H46" i="63"/>
  <c r="A48" i="41"/>
  <c r="B10" i="68" l="1"/>
  <c r="BN10" i="68" s="1"/>
  <c r="B10" i="73"/>
  <c r="AT4" i="23" s="1"/>
  <c r="AA4" i="25" s="1"/>
  <c r="AS4" i="23"/>
  <c r="Z4" i="25" s="1"/>
  <c r="CK9" i="72"/>
  <c r="CJ9" i="70"/>
  <c r="CQ9" i="70"/>
  <c r="A11" i="70"/>
  <c r="AG4" i="23"/>
  <c r="K4" i="25" s="1"/>
  <c r="CF10" i="68"/>
  <c r="BS10" i="68"/>
  <c r="CW10" i="68"/>
  <c r="AT10" i="68"/>
  <c r="AO10" i="68"/>
  <c r="AJ10" i="68"/>
  <c r="CV10" i="68"/>
  <c r="BI10" i="68"/>
  <c r="AG10" i="68"/>
  <c r="CU10" i="68"/>
  <c r="BQ10" i="68"/>
  <c r="AH10" i="68"/>
  <c r="CR10" i="68"/>
  <c r="AI10" i="68"/>
  <c r="AR10" i="68"/>
  <c r="BK10" i="68"/>
  <c r="AU10" i="68"/>
  <c r="BV10" i="68"/>
  <c r="AQ10" i="68"/>
  <c r="AZ10" i="68"/>
  <c r="CD10" i="68"/>
  <c r="AM10" i="68"/>
  <c r="CN10" i="68"/>
  <c r="AK10" i="68"/>
  <c r="CS10" i="68"/>
  <c r="BL10" i="68"/>
  <c r="AY10" i="68"/>
  <c r="BH10" i="68"/>
  <c r="AX10" i="68"/>
  <c r="DG38" i="68"/>
  <c r="CL10" i="68"/>
  <c r="CI10" i="68"/>
  <c r="A11" i="67"/>
  <c r="U4" i="23"/>
  <c r="Z4" i="24" s="1"/>
  <c r="CP10" i="68"/>
  <c r="AD3" i="25"/>
  <c r="AV3" i="23"/>
  <c r="BU9" i="69"/>
  <c r="AD3" i="23"/>
  <c r="G3" i="25" s="1"/>
  <c r="Z3" i="23"/>
  <c r="B3" i="25" s="1"/>
  <c r="O3" i="25"/>
  <c r="AJ3" i="23"/>
  <c r="BK10" i="71"/>
  <c r="AL4" i="23"/>
  <c r="Q4" i="25" s="1"/>
  <c r="CK10" i="68"/>
  <c r="CQ10" i="68"/>
  <c r="Y3" i="25"/>
  <c r="AR3" i="23"/>
  <c r="CJ10" i="68"/>
  <c r="A11" i="66"/>
  <c r="Q4" i="23"/>
  <c r="U4" i="24" s="1"/>
  <c r="A11" i="65"/>
  <c r="M5" i="23" s="1"/>
  <c r="P5" i="24" s="1"/>
  <c r="M4" i="23"/>
  <c r="P4" i="24" s="1"/>
  <c r="B10" i="63"/>
  <c r="E4" i="23"/>
  <c r="F4" i="24" s="1"/>
  <c r="CE9" i="66"/>
  <c r="R3" i="23"/>
  <c r="V3" i="24" s="1"/>
  <c r="AP9" i="63"/>
  <c r="F3" i="23"/>
  <c r="G3" i="24" s="1"/>
  <c r="BQ10" i="71"/>
  <c r="CS10" i="71"/>
  <c r="AI10" i="71"/>
  <c r="D10" i="71"/>
  <c r="CR10" i="71"/>
  <c r="AK10" i="71"/>
  <c r="BB10" i="71" s="1"/>
  <c r="BL10" i="71"/>
  <c r="AT10" i="71"/>
  <c r="AP10" i="71"/>
  <c r="BG10" i="71"/>
  <c r="CF10" i="71"/>
  <c r="BY10" i="71"/>
  <c r="AW10" i="71"/>
  <c r="AX10" i="71"/>
  <c r="BO10" i="71"/>
  <c r="CN10" i="71"/>
  <c r="CW10" i="71"/>
  <c r="AG10" i="71"/>
  <c r="CP10" i="71"/>
  <c r="BN10" i="71"/>
  <c r="CU10" i="71"/>
  <c r="CV10" i="71"/>
  <c r="AM10" i="71"/>
  <c r="CN9" i="69"/>
  <c r="AQ9" i="69"/>
  <c r="AX9" i="69"/>
  <c r="AW9" i="69"/>
  <c r="BQ9" i="69"/>
  <c r="BX9" i="69"/>
  <c r="AI9" i="69"/>
  <c r="AP9" i="69"/>
  <c r="AO9" i="69"/>
  <c r="AL9" i="69"/>
  <c r="BY9" i="69"/>
  <c r="AS9" i="69"/>
  <c r="BP9" i="69"/>
  <c r="CU9" i="69"/>
  <c r="AG9" i="69"/>
  <c r="AK9" i="69"/>
  <c r="BH9" i="69"/>
  <c r="CE9" i="69"/>
  <c r="CS9" i="69"/>
  <c r="AZ9" i="69"/>
  <c r="BW9" i="69"/>
  <c r="CT9" i="69"/>
  <c r="D9" i="69"/>
  <c r="AR9" i="69"/>
  <c r="BO9" i="69"/>
  <c r="CD9" i="69"/>
  <c r="G25" i="50"/>
  <c r="G27" i="50" s="1"/>
  <c r="AZ9" i="66"/>
  <c r="BO9" i="63"/>
  <c r="AZ9" i="63"/>
  <c r="BH9" i="63"/>
  <c r="D77" i="65"/>
  <c r="H42" i="65" s="1"/>
  <c r="CI9" i="68"/>
  <c r="CK9" i="68"/>
  <c r="CJ9" i="68"/>
  <c r="CQ9" i="68"/>
  <c r="CM9" i="68"/>
  <c r="CI10" i="69"/>
  <c r="CJ10" i="69"/>
  <c r="CQ10" i="69"/>
  <c r="CK10" i="69"/>
  <c r="CL10" i="69"/>
  <c r="CM10" i="69"/>
  <c r="CI10" i="73"/>
  <c r="CJ10" i="73"/>
  <c r="CQ10" i="73"/>
  <c r="CK10" i="73"/>
  <c r="CL10" i="73"/>
  <c r="CM10" i="73"/>
  <c r="CG10" i="73"/>
  <c r="CU9" i="71"/>
  <c r="CQ9" i="71"/>
  <c r="CI9" i="71"/>
  <c r="CM9" i="71"/>
  <c r="CL9" i="71"/>
  <c r="CK9" i="71"/>
  <c r="CG9" i="71"/>
  <c r="CJ9" i="71"/>
  <c r="CH10" i="71"/>
  <c r="CJ10" i="71"/>
  <c r="CK10" i="71"/>
  <c r="CL10" i="71"/>
  <c r="CM10" i="71"/>
  <c r="CI10" i="71"/>
  <c r="CI9" i="69"/>
  <c r="CM9" i="69"/>
  <c r="CL9" i="69"/>
  <c r="CK9" i="69"/>
  <c r="CG9" i="69"/>
  <c r="CJ9" i="69"/>
  <c r="CQ9" i="69"/>
  <c r="BZ9" i="66"/>
  <c r="CI9" i="66"/>
  <c r="CL9" i="66"/>
  <c r="CK9" i="66"/>
  <c r="CJ9" i="66"/>
  <c r="CQ9" i="66"/>
  <c r="CM9" i="66"/>
  <c r="CI10" i="66"/>
  <c r="CQ10" i="66"/>
  <c r="CK10" i="66"/>
  <c r="CL10" i="66"/>
  <c r="CM10" i="66"/>
  <c r="CG10" i="66"/>
  <c r="CJ10" i="66"/>
  <c r="CI9" i="64"/>
  <c r="CK9" i="64"/>
  <c r="CQ9" i="64"/>
  <c r="CG9" i="64"/>
  <c r="CJ9" i="64"/>
  <c r="CM9" i="64"/>
  <c r="CL9" i="64"/>
  <c r="CI10" i="64"/>
  <c r="CL10" i="64"/>
  <c r="CM10" i="64"/>
  <c r="CG10" i="64"/>
  <c r="CQ10" i="64"/>
  <c r="CJ10" i="64"/>
  <c r="CK10" i="64"/>
  <c r="CI9" i="63"/>
  <c r="CK9" i="63"/>
  <c r="CM9" i="63"/>
  <c r="CJ9" i="63"/>
  <c r="CL9" i="63"/>
  <c r="CQ9" i="63"/>
  <c r="D78" i="66"/>
  <c r="H43" i="66" s="1"/>
  <c r="B10" i="70"/>
  <c r="BR10" i="70" s="1"/>
  <c r="B11" i="70"/>
  <c r="CD11" i="70" s="1"/>
  <c r="D78" i="71"/>
  <c r="H43" i="71" s="1"/>
  <c r="F53" i="50"/>
  <c r="AY9" i="71"/>
  <c r="AN9" i="71"/>
  <c r="F44" i="50"/>
  <c r="F42" i="50"/>
  <c r="AV9" i="69"/>
  <c r="BZ9" i="69"/>
  <c r="BL9" i="69"/>
  <c r="AH9" i="69"/>
  <c r="AN9" i="69"/>
  <c r="AP10" i="73"/>
  <c r="BW10" i="73"/>
  <c r="CF10" i="73"/>
  <c r="CW10" i="73"/>
  <c r="D9" i="71"/>
  <c r="AM9" i="71"/>
  <c r="CT9" i="71"/>
  <c r="CV9" i="71"/>
  <c r="BX9" i="71"/>
  <c r="AH9" i="71"/>
  <c r="BY9" i="71"/>
  <c r="BL9" i="71"/>
  <c r="BS9" i="71"/>
  <c r="AO9" i="71"/>
  <c r="AP9" i="71"/>
  <c r="BZ9" i="71"/>
  <c r="BO9" i="71"/>
  <c r="CO9" i="71"/>
  <c r="BI9" i="71"/>
  <c r="AW9" i="71"/>
  <c r="AX9" i="71"/>
  <c r="BP9" i="71"/>
  <c r="AU9" i="71"/>
  <c r="BJ9" i="71"/>
  <c r="AQ9" i="71"/>
  <c r="BR9" i="71"/>
  <c r="BM9" i="71"/>
  <c r="BN9" i="71"/>
  <c r="AV9" i="71"/>
  <c r="AZ9" i="71"/>
  <c r="CR9" i="71"/>
  <c r="BU9" i="71"/>
  <c r="AL9" i="71"/>
  <c r="BT9" i="69"/>
  <c r="AU9" i="69"/>
  <c r="B10" i="67"/>
  <c r="V4" i="23" s="1"/>
  <c r="AA4" i="24" s="1"/>
  <c r="BK9" i="69"/>
  <c r="AM9" i="69"/>
  <c r="BR9" i="69"/>
  <c r="BJ9" i="69"/>
  <c r="AT9" i="69"/>
  <c r="CD9" i="66"/>
  <c r="AR9" i="66"/>
  <c r="BW9" i="66"/>
  <c r="BY9" i="66"/>
  <c r="AX9" i="66"/>
  <c r="BS9" i="66"/>
  <c r="AS9" i="66"/>
  <c r="AP9" i="66"/>
  <c r="AH9" i="66"/>
  <c r="AM9" i="66"/>
  <c r="BQ9" i="66"/>
  <c r="AT9" i="66"/>
  <c r="CV9" i="66"/>
  <c r="AJ9" i="66"/>
  <c r="BG9" i="66"/>
  <c r="BM9" i="66"/>
  <c r="AN9" i="66"/>
  <c r="BI9" i="66"/>
  <c r="AG9" i="66"/>
  <c r="BR9" i="66"/>
  <c r="CN9" i="66"/>
  <c r="AY9" i="66"/>
  <c r="AO9" i="66"/>
  <c r="CR9" i="66"/>
  <c r="BT9" i="66"/>
  <c r="AU9" i="66"/>
  <c r="D9" i="66"/>
  <c r="T3" i="23" s="1"/>
  <c r="Y3" i="24" s="1"/>
  <c r="CF9" i="66"/>
  <c r="AQ9" i="66"/>
  <c r="AK9" i="66"/>
  <c r="BN9" i="66"/>
  <c r="BX9" i="66"/>
  <c r="AI9" i="66"/>
  <c r="CS9" i="66"/>
  <c r="BU9" i="66"/>
  <c r="AV9" i="66"/>
  <c r="CO9" i="66"/>
  <c r="CW9" i="66"/>
  <c r="BP9" i="66"/>
  <c r="CU9" i="66"/>
  <c r="BK9" i="66"/>
  <c r="AL9" i="66"/>
  <c r="BL9" i="66"/>
  <c r="BH9" i="66"/>
  <c r="CT9" i="66"/>
  <c r="BV9" i="66"/>
  <c r="AW9" i="66"/>
  <c r="CP9" i="66"/>
  <c r="CU9" i="64"/>
  <c r="AY9" i="64"/>
  <c r="BT9" i="64"/>
  <c r="BZ9" i="64"/>
  <c r="BY9" i="64"/>
  <c r="CN9" i="64"/>
  <c r="AQ9" i="64"/>
  <c r="CD9" i="64"/>
  <c r="BU9" i="64"/>
  <c r="BL9" i="64"/>
  <c r="BS9" i="64"/>
  <c r="BR9" i="64"/>
  <c r="BQ9" i="64"/>
  <c r="CF9" i="64"/>
  <c r="AI9" i="64"/>
  <c r="BJ9" i="64"/>
  <c r="BN9" i="64"/>
  <c r="AW9" i="64"/>
  <c r="AN9" i="64"/>
  <c r="AU9" i="64"/>
  <c r="AT9" i="64"/>
  <c r="AS9" i="64"/>
  <c r="BP9" i="64"/>
  <c r="BM9" i="64"/>
  <c r="CE9" i="64"/>
  <c r="AX9" i="64"/>
  <c r="AO9" i="64"/>
  <c r="AM9" i="64"/>
  <c r="AL9" i="64"/>
  <c r="AK9" i="64"/>
  <c r="BH9" i="64"/>
  <c r="BI9" i="64"/>
  <c r="AG9" i="64"/>
  <c r="CW9" i="64"/>
  <c r="D9" i="64"/>
  <c r="L3" i="23" s="1"/>
  <c r="O3" i="24" s="1"/>
  <c r="BV9" i="64"/>
  <c r="BK9" i="64"/>
  <c r="BW9" i="64"/>
  <c r="AZ9" i="64"/>
  <c r="BO9" i="64"/>
  <c r="AH9" i="64"/>
  <c r="CR9" i="64"/>
  <c r="CP9" i="64"/>
  <c r="CO9" i="64"/>
  <c r="AR9" i="64"/>
  <c r="AV9" i="64"/>
  <c r="BX9" i="64"/>
  <c r="AP9" i="64"/>
  <c r="BG9" i="64"/>
  <c r="CT9" i="64"/>
  <c r="CS9" i="64"/>
  <c r="CH9" i="64"/>
  <c r="CV9" i="64"/>
  <c r="AJ9" i="64"/>
  <c r="AY9" i="63"/>
  <c r="CF9" i="63"/>
  <c r="BT9" i="63"/>
  <c r="BW9" i="63"/>
  <c r="BQ9" i="63"/>
  <c r="AN9" i="63"/>
  <c r="AX9" i="63"/>
  <c r="BI9" i="63"/>
  <c r="AU9" i="63"/>
  <c r="AV9" i="63"/>
  <c r="BN9" i="63"/>
  <c r="AJ9" i="63"/>
  <c r="BL9" i="63"/>
  <c r="AI9" i="63"/>
  <c r="CO9" i="63"/>
  <c r="BZ9" i="63"/>
  <c r="AW9" i="63"/>
  <c r="BP9" i="63"/>
  <c r="BR9" i="63"/>
  <c r="BS9" i="63"/>
  <c r="AT9" i="63"/>
  <c r="BG9" i="63"/>
  <c r="CS9" i="63"/>
  <c r="AL9" i="63"/>
  <c r="BM9" i="63"/>
  <c r="AM9" i="63"/>
  <c r="CN9" i="63"/>
  <c r="BU9" i="63"/>
  <c r="CT9" i="63"/>
  <c r="BY9" i="63"/>
  <c r="D77" i="63"/>
  <c r="H42" i="63" s="1"/>
  <c r="F34" i="23" s="1"/>
  <c r="H34" i="24" s="1"/>
  <c r="F43" i="50"/>
  <c r="F33" i="50"/>
  <c r="CX9" i="67"/>
  <c r="P9" i="67" s="1"/>
  <c r="CX9" i="73"/>
  <c r="P9" i="73" s="1"/>
  <c r="CR10" i="73"/>
  <c r="AX10" i="73"/>
  <c r="CE10" i="73"/>
  <c r="CN10" i="73"/>
  <c r="AL10" i="73"/>
  <c r="AG10" i="73"/>
  <c r="CD10" i="73"/>
  <c r="CV10" i="73"/>
  <c r="BR10" i="73"/>
  <c r="AO10" i="73"/>
  <c r="CU10" i="73"/>
  <c r="D10" i="73"/>
  <c r="BZ10" i="73"/>
  <c r="BU10" i="73"/>
  <c r="CT10" i="73"/>
  <c r="AJ10" i="73"/>
  <c r="BI10" i="73"/>
  <c r="CH10" i="73"/>
  <c r="A11" i="73"/>
  <c r="AI10" i="73"/>
  <c r="AR10" i="73"/>
  <c r="BQ10" i="73"/>
  <c r="CP10" i="73"/>
  <c r="BL10" i="73"/>
  <c r="AQ10" i="73"/>
  <c r="BP10" i="73"/>
  <c r="BY10" i="73"/>
  <c r="AM10" i="73"/>
  <c r="CS10" i="73"/>
  <c r="BT10" i="73"/>
  <c r="AH10" i="73"/>
  <c r="AY10" i="73"/>
  <c r="BX10" i="73"/>
  <c r="CO10" i="73"/>
  <c r="AU10" i="73"/>
  <c r="AK9" i="71"/>
  <c r="AT9" i="71"/>
  <c r="BW9" i="71"/>
  <c r="AR9" i="71"/>
  <c r="AJ9" i="71"/>
  <c r="AI9" i="71"/>
  <c r="BH9" i="71"/>
  <c r="AG9" i="71"/>
  <c r="CH9" i="71"/>
  <c r="B10" i="65"/>
  <c r="N4" i="23" s="1"/>
  <c r="Q4" i="24" s="1"/>
  <c r="BK9" i="63"/>
  <c r="AR9" i="63"/>
  <c r="D9" i="63"/>
  <c r="H3" i="23" s="1"/>
  <c r="J3" i="24" s="1"/>
  <c r="AN10" i="73"/>
  <c r="AW10" i="73"/>
  <c r="BN10" i="73"/>
  <c r="BG10" i="73"/>
  <c r="AZ10" i="73"/>
  <c r="AK10" i="73"/>
  <c r="AT10" i="73"/>
  <c r="BK10" i="73"/>
  <c r="AV10" i="73"/>
  <c r="BM10" i="73"/>
  <c r="BV10" i="73"/>
  <c r="BO10" i="73"/>
  <c r="BH10" i="73"/>
  <c r="AS10" i="73"/>
  <c r="BJ10" i="73"/>
  <c r="BS10" i="73"/>
  <c r="CW9" i="71"/>
  <c r="BK9" i="71"/>
  <c r="CE9" i="71"/>
  <c r="AS9" i="71"/>
  <c r="BT9" i="71"/>
  <c r="H43" i="73"/>
  <c r="AT34" i="23" s="1"/>
  <c r="D77" i="70"/>
  <c r="H42" i="70" s="1"/>
  <c r="AH34" i="23" s="1"/>
  <c r="M34" i="25" s="1"/>
  <c r="D78" i="69"/>
  <c r="H43" i="69" s="1"/>
  <c r="AD34" i="23" s="1"/>
  <c r="H34" i="25" s="1"/>
  <c r="D78" i="64"/>
  <c r="D77" i="72"/>
  <c r="H42" i="72" s="1"/>
  <c r="AP34" i="23" s="1"/>
  <c r="W34" i="25" s="1"/>
  <c r="BB9" i="72"/>
  <c r="D76" i="68"/>
  <c r="H41" i="68" s="1"/>
  <c r="Z34" i="23" s="1"/>
  <c r="C34" i="25" s="1"/>
  <c r="D78" i="67"/>
  <c r="H43" i="67" s="1"/>
  <c r="V34" i="23" s="1"/>
  <c r="AB34" i="24" s="1"/>
  <c r="BB9" i="73"/>
  <c r="BA9" i="72"/>
  <c r="N9" i="72" s="1"/>
  <c r="BA9" i="70"/>
  <c r="N9" i="70" s="1"/>
  <c r="BB9" i="65"/>
  <c r="BA9" i="73"/>
  <c r="DG40" i="73"/>
  <c r="CA9" i="73"/>
  <c r="A11" i="72"/>
  <c r="AO5" i="23" s="1"/>
  <c r="U5" i="25" s="1"/>
  <c r="B10" i="72"/>
  <c r="AP4" i="23" s="1"/>
  <c r="V4" i="25" s="1"/>
  <c r="DG39" i="72"/>
  <c r="A12" i="71"/>
  <c r="AK6" i="23" s="1"/>
  <c r="P6" i="25" s="1"/>
  <c r="B11" i="71"/>
  <c r="AL5" i="23" s="1"/>
  <c r="Q5" i="25" s="1"/>
  <c r="DG40" i="71"/>
  <c r="BB9" i="70"/>
  <c r="CA9" i="70"/>
  <c r="BU10" i="70"/>
  <c r="BU11" i="70"/>
  <c r="AP11" i="70"/>
  <c r="BZ11" i="70"/>
  <c r="BN11" i="70"/>
  <c r="DG39" i="70"/>
  <c r="CR10" i="69"/>
  <c r="BL10" i="69"/>
  <c r="AV10" i="69"/>
  <c r="AN10" i="69"/>
  <c r="BS10" i="69"/>
  <c r="BK10" i="69"/>
  <c r="AU10" i="69"/>
  <c r="AM10" i="69"/>
  <c r="CP10" i="69"/>
  <c r="CH10" i="69"/>
  <c r="BZ10" i="69"/>
  <c r="BR10" i="69"/>
  <c r="AT10" i="69"/>
  <c r="AL10" i="69"/>
  <c r="CW10" i="69"/>
  <c r="CO10" i="69"/>
  <c r="BY10" i="69"/>
  <c r="BQ10" i="69"/>
  <c r="BI10" i="69"/>
  <c r="AS10" i="69"/>
  <c r="AK10" i="69"/>
  <c r="D10" i="69"/>
  <c r="CV10" i="69"/>
  <c r="CN10" i="69"/>
  <c r="CF10" i="69"/>
  <c r="BX10" i="69"/>
  <c r="BP10" i="69"/>
  <c r="BH10" i="69"/>
  <c r="AZ10" i="69"/>
  <c r="AR10" i="69"/>
  <c r="AJ10" i="69"/>
  <c r="CT10" i="69"/>
  <c r="AP10" i="69"/>
  <c r="CS10" i="69"/>
  <c r="BW10" i="69"/>
  <c r="AO10" i="69"/>
  <c r="BV10" i="69"/>
  <c r="AI10" i="69"/>
  <c r="CU10" i="69"/>
  <c r="BU10" i="69"/>
  <c r="AH10" i="69"/>
  <c r="BG10" i="69"/>
  <c r="AQ10" i="69"/>
  <c r="AY10" i="69"/>
  <c r="AG10" i="69"/>
  <c r="CE10" i="69"/>
  <c r="BN10" i="69"/>
  <c r="AX10" i="69"/>
  <c r="CD10" i="69"/>
  <c r="BM10" i="69"/>
  <c r="AW10" i="69"/>
  <c r="A12" i="69"/>
  <c r="AC6" i="23" s="1"/>
  <c r="F6" i="25" s="1"/>
  <c r="B11" i="69"/>
  <c r="AD5" i="23" s="1"/>
  <c r="G5" i="25" s="1"/>
  <c r="DG40" i="69"/>
  <c r="A12" i="68"/>
  <c r="Y6" i="23" s="1"/>
  <c r="A6" i="25" s="1"/>
  <c r="B11" i="68"/>
  <c r="Z5" i="23" s="1"/>
  <c r="B5" i="25" s="1"/>
  <c r="CS9" i="68"/>
  <c r="BU9" i="68"/>
  <c r="BM9" i="68"/>
  <c r="AW9" i="68"/>
  <c r="AO9" i="68"/>
  <c r="AG9" i="68"/>
  <c r="CR9" i="68"/>
  <c r="BT9" i="68"/>
  <c r="BL9" i="68"/>
  <c r="AV9" i="68"/>
  <c r="AN9" i="68"/>
  <c r="CN9" i="68"/>
  <c r="CD9" i="68"/>
  <c r="BV9" i="68"/>
  <c r="BJ9" i="68"/>
  <c r="AR9" i="68"/>
  <c r="AH9" i="68"/>
  <c r="CW9" i="68"/>
  <c r="AQ9" i="68"/>
  <c r="CV9" i="68"/>
  <c r="BR9" i="68"/>
  <c r="BH9" i="68"/>
  <c r="AZ9" i="68"/>
  <c r="AP9" i="68"/>
  <c r="D9" i="68"/>
  <c r="CU9" i="68"/>
  <c r="BQ9" i="68"/>
  <c r="BG9" i="68"/>
  <c r="AY9" i="68"/>
  <c r="AM9" i="68"/>
  <c r="CT9" i="68"/>
  <c r="CH9" i="68"/>
  <c r="BZ9" i="68"/>
  <c r="BP9" i="68"/>
  <c r="AX9" i="68"/>
  <c r="AL9" i="68"/>
  <c r="BY9" i="68"/>
  <c r="BO9" i="68"/>
  <c r="AU9" i="68"/>
  <c r="AK9" i="68"/>
  <c r="BX9" i="68"/>
  <c r="AT9" i="68"/>
  <c r="AJ9" i="68"/>
  <c r="CO9" i="68"/>
  <c r="CE9" i="68"/>
  <c r="BW9" i="68"/>
  <c r="BK9" i="68"/>
  <c r="AS9" i="68"/>
  <c r="AI9" i="68"/>
  <c r="DG40" i="67"/>
  <c r="CA9" i="67"/>
  <c r="BB9" i="67"/>
  <c r="BA9" i="67"/>
  <c r="DG40" i="66"/>
  <c r="CS10" i="66"/>
  <c r="CR10" i="66"/>
  <c r="CV10" i="66"/>
  <c r="BT10" i="66"/>
  <c r="BL10" i="66"/>
  <c r="AV10" i="66"/>
  <c r="AN10" i="66"/>
  <c r="CU10" i="66"/>
  <c r="BS10" i="66"/>
  <c r="AU10" i="66"/>
  <c r="AM10" i="66"/>
  <c r="CT10" i="66"/>
  <c r="BZ10" i="66"/>
  <c r="BR10" i="66"/>
  <c r="BJ10" i="66"/>
  <c r="AT10" i="66"/>
  <c r="AL10" i="66"/>
  <c r="BY10" i="66"/>
  <c r="BQ10" i="66"/>
  <c r="BI10" i="66"/>
  <c r="AS10" i="66"/>
  <c r="AK10" i="66"/>
  <c r="D10" i="66"/>
  <c r="T4" i="23" s="1"/>
  <c r="Y4" i="24" s="1"/>
  <c r="CP10" i="66"/>
  <c r="CF10" i="66"/>
  <c r="BX10" i="66"/>
  <c r="BH10" i="66"/>
  <c r="AZ10" i="66"/>
  <c r="AR10" i="66"/>
  <c r="AJ10" i="66"/>
  <c r="CO10" i="66"/>
  <c r="CE10" i="66"/>
  <c r="BW10" i="66"/>
  <c r="BO10" i="66"/>
  <c r="BG10" i="66"/>
  <c r="AY10" i="66"/>
  <c r="AQ10" i="66"/>
  <c r="AI10" i="66"/>
  <c r="CN10" i="66"/>
  <c r="CD10" i="66"/>
  <c r="BV10" i="66"/>
  <c r="BN10" i="66"/>
  <c r="AX10" i="66"/>
  <c r="AP10" i="66"/>
  <c r="AH10" i="66"/>
  <c r="CW10" i="66"/>
  <c r="BU10" i="66"/>
  <c r="BM10" i="66"/>
  <c r="AW10" i="66"/>
  <c r="AO10" i="66"/>
  <c r="AG10" i="66"/>
  <c r="BA9" i="65"/>
  <c r="DG39" i="65"/>
  <c r="B11" i="65"/>
  <c r="N5" i="23" s="1"/>
  <c r="Q5" i="24" s="1"/>
  <c r="A12" i="65"/>
  <c r="M6" i="23" s="1"/>
  <c r="P6" i="24" s="1"/>
  <c r="A12" i="64"/>
  <c r="I6" i="23" s="1"/>
  <c r="K6" i="24" s="1"/>
  <c r="B11" i="64"/>
  <c r="J5" i="23" s="1"/>
  <c r="L5" i="24" s="1"/>
  <c r="CP10" i="64"/>
  <c r="CH10" i="64"/>
  <c r="BZ10" i="64"/>
  <c r="BR10" i="64"/>
  <c r="BJ10" i="64"/>
  <c r="AT10" i="64"/>
  <c r="AL10" i="64"/>
  <c r="CW10" i="64"/>
  <c r="CO10" i="64"/>
  <c r="BY10" i="64"/>
  <c r="BQ10" i="64"/>
  <c r="BI10" i="64"/>
  <c r="AS10" i="64"/>
  <c r="AK10" i="64"/>
  <c r="D10" i="64"/>
  <c r="L4" i="23" s="1"/>
  <c r="O4" i="24" s="1"/>
  <c r="CV10" i="64"/>
  <c r="CN10" i="64"/>
  <c r="CF10" i="64"/>
  <c r="BX10" i="64"/>
  <c r="BP10" i="64"/>
  <c r="BH10" i="64"/>
  <c r="AZ10" i="64"/>
  <c r="AR10" i="64"/>
  <c r="AJ10" i="64"/>
  <c r="CU10" i="64"/>
  <c r="CE10" i="64"/>
  <c r="BW10" i="64"/>
  <c r="BO10" i="64"/>
  <c r="BG10" i="64"/>
  <c r="AY10" i="64"/>
  <c r="AQ10" i="64"/>
  <c r="AI10" i="64"/>
  <c r="CT10" i="64"/>
  <c r="BV10" i="64"/>
  <c r="BN10" i="64"/>
  <c r="AX10" i="64"/>
  <c r="AP10" i="64"/>
  <c r="AH10" i="64"/>
  <c r="CS10" i="64"/>
  <c r="BU10" i="64"/>
  <c r="BM10" i="64"/>
  <c r="AW10" i="64"/>
  <c r="AO10" i="64"/>
  <c r="AG10" i="64"/>
  <c r="CR10" i="64"/>
  <c r="BT10" i="64"/>
  <c r="BL10" i="64"/>
  <c r="AV10" i="64"/>
  <c r="AN10" i="64"/>
  <c r="BS10" i="64"/>
  <c r="BK10" i="64"/>
  <c r="AU10" i="64"/>
  <c r="AM10" i="64"/>
  <c r="DG40" i="64"/>
  <c r="CP9" i="63"/>
  <c r="AQ9" i="63"/>
  <c r="AK9" i="63"/>
  <c r="AG9" i="63"/>
  <c r="CR9" i="63"/>
  <c r="CW9" i="63"/>
  <c r="AS9" i="63"/>
  <c r="CE9" i="63"/>
  <c r="AO9" i="63"/>
  <c r="AH9" i="63"/>
  <c r="CV9" i="63"/>
  <c r="BV9" i="63"/>
  <c r="CU9" i="63"/>
  <c r="CD9" i="63"/>
  <c r="BX9" i="63"/>
  <c r="A12" i="63"/>
  <c r="E6" i="23" s="1"/>
  <c r="F6" i="24" s="1"/>
  <c r="B11" i="63"/>
  <c r="F5" i="23" s="1"/>
  <c r="G5" i="24" s="1"/>
  <c r="DG39" i="63"/>
  <c r="T68" i="41"/>
  <c r="V44" i="41" s="1"/>
  <c r="G69" i="1"/>
  <c r="F69" i="1"/>
  <c r="G60" i="1"/>
  <c r="F60" i="1"/>
  <c r="G51" i="1"/>
  <c r="G42" i="1"/>
  <c r="F42" i="1"/>
  <c r="E15" i="62"/>
  <c r="AF13" i="66" s="1"/>
  <c r="AF40" i="66" s="1"/>
  <c r="F6" i="62"/>
  <c r="A1" i="23" s="1"/>
  <c r="AO1" i="61"/>
  <c r="E76" i="1"/>
  <c r="J35" i="1"/>
  <c r="D10" i="68" l="1"/>
  <c r="AB4" i="23" s="1"/>
  <c r="E4" i="25" s="1"/>
  <c r="AL10" i="68"/>
  <c r="AW10" i="68"/>
  <c r="CO10" i="68"/>
  <c r="Z4" i="23"/>
  <c r="B4" i="25" s="1"/>
  <c r="CE10" i="68"/>
  <c r="BM10" i="68"/>
  <c r="BG10" i="68"/>
  <c r="CT10" i="68"/>
  <c r="AV10" i="68"/>
  <c r="BW10" i="68"/>
  <c r="BY10" i="68"/>
  <c r="BR10" i="68"/>
  <c r="BU10" i="68"/>
  <c r="BZ10" i="68"/>
  <c r="AN10" i="68"/>
  <c r="BA10" i="68" s="1"/>
  <c r="N10" i="68" s="1"/>
  <c r="AP10" i="68"/>
  <c r="BX10" i="68"/>
  <c r="BP10" i="68"/>
  <c r="AS10" i="68"/>
  <c r="H45" i="65"/>
  <c r="N34" i="23"/>
  <c r="R34" i="24" s="1"/>
  <c r="H46" i="66"/>
  <c r="R34" i="23"/>
  <c r="W34" i="24" s="1"/>
  <c r="H46" i="71"/>
  <c r="AL34" i="23"/>
  <c r="R34" i="25" s="1"/>
  <c r="AB34" i="25"/>
  <c r="H43" i="64"/>
  <c r="CX9" i="70"/>
  <c r="P9" i="70" s="1"/>
  <c r="A12" i="73"/>
  <c r="AS6" i="23" s="1"/>
  <c r="Z6" i="25" s="1"/>
  <c r="AS5" i="23"/>
  <c r="Z5" i="25" s="1"/>
  <c r="A12" i="70"/>
  <c r="AG5" i="23"/>
  <c r="K5" i="25" s="1"/>
  <c r="BB10" i="68"/>
  <c r="AG11" i="70"/>
  <c r="AH5" i="23"/>
  <c r="L5" i="25" s="1"/>
  <c r="AK11" i="70"/>
  <c r="CT11" i="70"/>
  <c r="CV11" i="70"/>
  <c r="AI11" i="70"/>
  <c r="AJ10" i="70"/>
  <c r="BX11" i="70"/>
  <c r="AU11" i="70"/>
  <c r="AY11" i="70"/>
  <c r="AQ11" i="70"/>
  <c r="AN11" i="70"/>
  <c r="BP10" i="70"/>
  <c r="CN11" i="70"/>
  <c r="BY11" i="70"/>
  <c r="BG11" i="70"/>
  <c r="BI11" i="70"/>
  <c r="AV11" i="70"/>
  <c r="AF3" i="23"/>
  <c r="J3" i="25"/>
  <c r="BR11" i="70"/>
  <c r="AT10" i="70"/>
  <c r="AH4" i="23"/>
  <c r="L4" i="25" s="1"/>
  <c r="J4" i="25"/>
  <c r="AF4" i="23"/>
  <c r="AL11" i="70"/>
  <c r="BQ11" i="70"/>
  <c r="BS11" i="70"/>
  <c r="BL11" i="70"/>
  <c r="AJ11" i="70"/>
  <c r="AX11" i="70"/>
  <c r="CU11" i="70"/>
  <c r="CW11" i="70"/>
  <c r="BT11" i="70"/>
  <c r="AV4" i="23"/>
  <c r="AD4" i="25"/>
  <c r="T4" i="25"/>
  <c r="AN4" i="23"/>
  <c r="AN3" i="23"/>
  <c r="T3" i="25"/>
  <c r="E3" i="25"/>
  <c r="AB3" i="23"/>
  <c r="CH11" i="70"/>
  <c r="AT11" i="70"/>
  <c r="BP11" i="70"/>
  <c r="D11" i="70"/>
  <c r="BV11" i="70"/>
  <c r="CR11" i="70"/>
  <c r="B11" i="67"/>
  <c r="U5" i="23"/>
  <c r="Z5" i="24" s="1"/>
  <c r="A12" i="67"/>
  <c r="B11" i="66"/>
  <c r="Q5" i="23"/>
  <c r="U5" i="24" s="1"/>
  <c r="A12" i="66"/>
  <c r="F4" i="23"/>
  <c r="G4" i="24" s="1"/>
  <c r="CI10" i="63"/>
  <c r="AM10" i="63"/>
  <c r="AW10" i="63"/>
  <c r="CO10" i="63"/>
  <c r="CE10" i="63"/>
  <c r="BP10" i="63"/>
  <c r="CT10" i="63"/>
  <c r="BT10" i="63"/>
  <c r="CP10" i="63"/>
  <c r="BY10" i="63"/>
  <c r="BW10" i="63"/>
  <c r="CD10" i="63"/>
  <c r="CR10" i="63"/>
  <c r="AZ10" i="63"/>
  <c r="BV10" i="63"/>
  <c r="BM10" i="63"/>
  <c r="BI10" i="63"/>
  <c r="AR10" i="63"/>
  <c r="BJ10" i="63"/>
  <c r="CV10" i="63"/>
  <c r="AJ10" i="63"/>
  <c r="AT10" i="63"/>
  <c r="BO10" i="63"/>
  <c r="CF10" i="63"/>
  <c r="CJ10" i="63"/>
  <c r="BL10" i="63"/>
  <c r="BH10" i="63"/>
  <c r="BR10" i="63"/>
  <c r="AO10" i="63"/>
  <c r="AN10" i="63"/>
  <c r="BX10" i="63"/>
  <c r="CK10" i="63"/>
  <c r="AV10" i="63"/>
  <c r="BZ10" i="63"/>
  <c r="BQ10" i="63"/>
  <c r="BG10" i="63"/>
  <c r="AY10" i="63"/>
  <c r="AS10" i="63"/>
  <c r="AX10" i="63"/>
  <c r="AK10" i="63"/>
  <c r="AL10" i="63"/>
  <c r="AU10" i="63"/>
  <c r="AG10" i="63"/>
  <c r="CL10" i="63"/>
  <c r="BN10" i="63"/>
  <c r="AQ10" i="63"/>
  <c r="CW10" i="63"/>
  <c r="CM10" i="63"/>
  <c r="AH10" i="63"/>
  <c r="BU10" i="63"/>
  <c r="AP10" i="63"/>
  <c r="CS10" i="63"/>
  <c r="AI10" i="63"/>
  <c r="CQ10" i="63"/>
  <c r="CN10" i="63"/>
  <c r="D10" i="63"/>
  <c r="H4" i="23" s="1"/>
  <c r="J4" i="24" s="1"/>
  <c r="CU10" i="63"/>
  <c r="CG10" i="63"/>
  <c r="BS10" i="63"/>
  <c r="BA10" i="71"/>
  <c r="N10" i="71" s="1"/>
  <c r="CS11" i="70"/>
  <c r="AS11" i="70"/>
  <c r="AX10" i="70"/>
  <c r="BB9" i="69"/>
  <c r="BS10" i="70"/>
  <c r="AL10" i="70"/>
  <c r="BK11" i="70"/>
  <c r="AO11" i="70"/>
  <c r="BL10" i="70"/>
  <c r="AH11" i="70"/>
  <c r="CE11" i="70"/>
  <c r="AW11" i="70"/>
  <c r="CS10" i="70"/>
  <c r="AZ11" i="70"/>
  <c r="BJ11" i="70"/>
  <c r="CO11" i="70"/>
  <c r="BM11" i="70"/>
  <c r="AR10" i="70"/>
  <c r="BO11" i="70"/>
  <c r="AM11" i="70"/>
  <c r="BH11" i="70"/>
  <c r="AR11" i="70"/>
  <c r="BW11" i="70"/>
  <c r="V53" i="64"/>
  <c r="V44" i="65" s="1"/>
  <c r="H44" i="68"/>
  <c r="D5" i="74"/>
  <c r="D24" i="74" s="1"/>
  <c r="D26" i="74" s="1"/>
  <c r="BT10" i="70"/>
  <c r="BV10" i="70"/>
  <c r="BN10" i="70"/>
  <c r="D10" i="70"/>
  <c r="BZ10" i="70"/>
  <c r="CN10" i="70"/>
  <c r="CF10" i="70"/>
  <c r="BX10" i="70"/>
  <c r="AS10" i="70"/>
  <c r="CP10" i="70"/>
  <c r="AO10" i="70"/>
  <c r="CR10" i="70"/>
  <c r="AI10" i="70"/>
  <c r="BI10" i="70"/>
  <c r="AW10" i="70"/>
  <c r="AY10" i="70"/>
  <c r="AG10" i="70"/>
  <c r="BO10" i="70"/>
  <c r="BQ10" i="70"/>
  <c r="BG10" i="70"/>
  <c r="BK10" i="70"/>
  <c r="BM10" i="70"/>
  <c r="CU10" i="70"/>
  <c r="AN10" i="70"/>
  <c r="AP10" i="70"/>
  <c r="AH10" i="70"/>
  <c r="AV10" i="70"/>
  <c r="BJ10" i="70"/>
  <c r="BY10" i="70"/>
  <c r="CH10" i="70"/>
  <c r="BH10" i="70"/>
  <c r="AQ10" i="70"/>
  <c r="CT10" i="70"/>
  <c r="CV10" i="70"/>
  <c r="CW10" i="70"/>
  <c r="AM10" i="70"/>
  <c r="CD10" i="70"/>
  <c r="AZ10" i="70"/>
  <c r="BW10" i="70"/>
  <c r="AU10" i="70"/>
  <c r="AK10" i="70"/>
  <c r="CI11" i="68"/>
  <c r="CK11" i="68"/>
  <c r="CG11" i="68"/>
  <c r="CL11" i="68"/>
  <c r="CM11" i="68"/>
  <c r="CQ11" i="68"/>
  <c r="CJ11" i="68"/>
  <c r="CJ10" i="72"/>
  <c r="CG10" i="72"/>
  <c r="CK10" i="72"/>
  <c r="CQ10" i="72"/>
  <c r="CL10" i="72"/>
  <c r="CI10" i="72"/>
  <c r="CM10" i="72"/>
  <c r="BJ10" i="67"/>
  <c r="CI10" i="67"/>
  <c r="CJ10" i="67"/>
  <c r="CQ10" i="67"/>
  <c r="CK10" i="67"/>
  <c r="CG10" i="67"/>
  <c r="CL10" i="67"/>
  <c r="CM10" i="67"/>
  <c r="CI11" i="70"/>
  <c r="CK11" i="70"/>
  <c r="CL11" i="70"/>
  <c r="CM11" i="70"/>
  <c r="CG11" i="70"/>
  <c r="CQ11" i="70"/>
  <c r="CJ11" i="70"/>
  <c r="CI11" i="69"/>
  <c r="CQ11" i="69"/>
  <c r="CJ11" i="69"/>
  <c r="CK11" i="69"/>
  <c r="CL11" i="69"/>
  <c r="CG11" i="69"/>
  <c r="CM11" i="69"/>
  <c r="CI10" i="70"/>
  <c r="CJ10" i="70"/>
  <c r="CG10" i="70"/>
  <c r="CK10" i="70"/>
  <c r="CQ10" i="70"/>
  <c r="CL10" i="70"/>
  <c r="CM10" i="70"/>
  <c r="CM11" i="71"/>
  <c r="CQ11" i="71"/>
  <c r="CJ11" i="71"/>
  <c r="CI11" i="71"/>
  <c r="CK11" i="71"/>
  <c r="CL11" i="71"/>
  <c r="CG11" i="71"/>
  <c r="CI11" i="65"/>
  <c r="CQ11" i="65"/>
  <c r="CJ11" i="65"/>
  <c r="CK11" i="65"/>
  <c r="CL11" i="65"/>
  <c r="BN10" i="65"/>
  <c r="CI10" i="65"/>
  <c r="CJ10" i="65"/>
  <c r="CK10" i="65"/>
  <c r="CQ10" i="65"/>
  <c r="CM10" i="65"/>
  <c r="CI11" i="64"/>
  <c r="CJ11" i="64"/>
  <c r="CG11" i="64"/>
  <c r="CK11" i="64"/>
  <c r="CL11" i="64"/>
  <c r="CQ11" i="64"/>
  <c r="CM11" i="64"/>
  <c r="CI11" i="63"/>
  <c r="CJ11" i="63"/>
  <c r="CK11" i="63"/>
  <c r="CL11" i="63"/>
  <c r="CM11" i="63"/>
  <c r="CG11" i="63"/>
  <c r="CQ11" i="63"/>
  <c r="CD10" i="67"/>
  <c r="AL10" i="65"/>
  <c r="AT10" i="65"/>
  <c r="AU10" i="65"/>
  <c r="BK10" i="65"/>
  <c r="CR10" i="65"/>
  <c r="D10" i="65"/>
  <c r="P4" i="23" s="1"/>
  <c r="T4" i="24" s="1"/>
  <c r="BG10" i="65"/>
  <c r="AI10" i="65"/>
  <c r="CU10" i="65"/>
  <c r="AJ10" i="65"/>
  <c r="CV10" i="65"/>
  <c r="CS10" i="65"/>
  <c r="B11" i="73"/>
  <c r="AK11" i="73" s="1"/>
  <c r="BZ10" i="65"/>
  <c r="AR10" i="65"/>
  <c r="AK10" i="65"/>
  <c r="AX10" i="65"/>
  <c r="AO10" i="65"/>
  <c r="AP10" i="65"/>
  <c r="BO10" i="65"/>
  <c r="BJ10" i="65"/>
  <c r="AG10" i="65"/>
  <c r="AQ10" i="65"/>
  <c r="BH10" i="65"/>
  <c r="CO10" i="65"/>
  <c r="BS10" i="65"/>
  <c r="AZ10" i="65"/>
  <c r="AS10" i="65"/>
  <c r="BR10" i="65"/>
  <c r="BV10" i="65"/>
  <c r="BW10" i="65"/>
  <c r="BQ10" i="65"/>
  <c r="AN10" i="65"/>
  <c r="AW10" i="65"/>
  <c r="CD10" i="65"/>
  <c r="AY10" i="65"/>
  <c r="BP10" i="65"/>
  <c r="BY10" i="65"/>
  <c r="CH10" i="65"/>
  <c r="AV10" i="65"/>
  <c r="BM10" i="65"/>
  <c r="CE10" i="65"/>
  <c r="BX10" i="65"/>
  <c r="CP10" i="65"/>
  <c r="BL10" i="65"/>
  <c r="BU10" i="65"/>
  <c r="CT10" i="65"/>
  <c r="CN10" i="65"/>
  <c r="CW10" i="65"/>
  <c r="AM10" i="65"/>
  <c r="BT10" i="65"/>
  <c r="BB9" i="66"/>
  <c r="F45" i="50"/>
  <c r="F51" i="50"/>
  <c r="F54" i="50" s="1"/>
  <c r="BA9" i="69"/>
  <c r="N9" i="69" s="1"/>
  <c r="AZ10" i="67"/>
  <c r="BI10" i="67"/>
  <c r="BR10" i="67"/>
  <c r="AR10" i="67"/>
  <c r="AW10" i="67"/>
  <c r="AG10" i="67"/>
  <c r="CN10" i="67"/>
  <c r="BL10" i="67"/>
  <c r="BZ10" i="67"/>
  <c r="BN10" i="67"/>
  <c r="BX10" i="67"/>
  <c r="AO10" i="67"/>
  <c r="CH10" i="67"/>
  <c r="CU10" i="67"/>
  <c r="BG10" i="67"/>
  <c r="BQ10" i="67"/>
  <c r="AQ10" i="67"/>
  <c r="AJ10" i="67"/>
  <c r="BS10" i="67"/>
  <c r="BV10" i="67"/>
  <c r="BY10" i="67"/>
  <c r="BM10" i="67"/>
  <c r="AV10" i="67"/>
  <c r="AY10" i="67"/>
  <c r="CF10" i="67"/>
  <c r="CO10" i="67"/>
  <c r="CP10" i="67"/>
  <c r="BW10" i="67"/>
  <c r="CT10" i="67"/>
  <c r="BP10" i="67"/>
  <c r="AN10" i="67"/>
  <c r="BK10" i="67"/>
  <c r="CR10" i="67"/>
  <c r="CW10" i="67"/>
  <c r="AI10" i="67"/>
  <c r="AX10" i="67"/>
  <c r="BU10" i="67"/>
  <c r="D10" i="67"/>
  <c r="X4" i="23" s="1"/>
  <c r="AD4" i="24" s="1"/>
  <c r="AL10" i="67"/>
  <c r="CS10" i="67"/>
  <c r="AU10" i="67"/>
  <c r="CV10" i="67"/>
  <c r="BH10" i="67"/>
  <c r="CE10" i="67"/>
  <c r="AK10" i="67"/>
  <c r="AT10" i="67"/>
  <c r="AH10" i="67"/>
  <c r="BO10" i="67"/>
  <c r="AM10" i="67"/>
  <c r="BT10" i="67"/>
  <c r="AP10" i="67"/>
  <c r="AS10" i="67"/>
  <c r="BA9" i="66"/>
  <c r="N9" i="66" s="1"/>
  <c r="AH10" i="65"/>
  <c r="CX9" i="64"/>
  <c r="P9" i="64" s="1"/>
  <c r="BB9" i="64"/>
  <c r="CA9" i="64"/>
  <c r="O9" i="64" s="1"/>
  <c r="BA9" i="64"/>
  <c r="N9" i="64" s="1"/>
  <c r="H45" i="63"/>
  <c r="I44" i="71"/>
  <c r="I45" i="73"/>
  <c r="I44" i="73"/>
  <c r="I44" i="72"/>
  <c r="I44" i="66"/>
  <c r="I44" i="63"/>
  <c r="I44" i="65"/>
  <c r="I43" i="70"/>
  <c r="I43" i="72"/>
  <c r="I45" i="69"/>
  <c r="I43" i="63"/>
  <c r="I44" i="69"/>
  <c r="I43" i="68"/>
  <c r="I42" i="68"/>
  <c r="I45" i="64"/>
  <c r="I44" i="64"/>
  <c r="I45" i="71"/>
  <c r="I43" i="65"/>
  <c r="I44" i="70"/>
  <c r="I45" i="66"/>
  <c r="I45" i="67"/>
  <c r="I44" i="67"/>
  <c r="H46" i="73"/>
  <c r="H45" i="70"/>
  <c r="H46" i="69"/>
  <c r="F34" i="50"/>
  <c r="F6" i="50"/>
  <c r="F25" i="50" s="1"/>
  <c r="CX10" i="73"/>
  <c r="P10" i="73" s="1"/>
  <c r="BB9" i="71"/>
  <c r="CA10" i="73"/>
  <c r="O10" i="73" s="1"/>
  <c r="Z9" i="73" s="1"/>
  <c r="BA9" i="71"/>
  <c r="N9" i="71" s="1"/>
  <c r="BA10" i="73"/>
  <c r="N10" i="73" s="1"/>
  <c r="BB9" i="63"/>
  <c r="BB10" i="73"/>
  <c r="H46" i="67"/>
  <c r="H45" i="72"/>
  <c r="N9" i="73"/>
  <c r="O9" i="73"/>
  <c r="BL11" i="73"/>
  <c r="BW11" i="73"/>
  <c r="B12" i="73"/>
  <c r="AT6" i="23" s="1"/>
  <c r="AA6" i="25" s="1"/>
  <c r="A13" i="73"/>
  <c r="AS7" i="23" s="1"/>
  <c r="Z7" i="25" s="1"/>
  <c r="CS10" i="72"/>
  <c r="BU10" i="72"/>
  <c r="BM10" i="72"/>
  <c r="AW10" i="72"/>
  <c r="AO10" i="72"/>
  <c r="AG10" i="72"/>
  <c r="CR10" i="72"/>
  <c r="BT10" i="72"/>
  <c r="BL10" i="72"/>
  <c r="AV10" i="72"/>
  <c r="AN10" i="72"/>
  <c r="BS10" i="72"/>
  <c r="AU10" i="72"/>
  <c r="AM10" i="72"/>
  <c r="CP10" i="72"/>
  <c r="BR10" i="72"/>
  <c r="BJ10" i="72"/>
  <c r="AT10" i="72"/>
  <c r="AL10" i="72"/>
  <c r="CO10" i="72"/>
  <c r="BY10" i="72"/>
  <c r="BQ10" i="72"/>
  <c r="BI10" i="72"/>
  <c r="AS10" i="72"/>
  <c r="AK10" i="72"/>
  <c r="D10" i="72"/>
  <c r="CV10" i="72"/>
  <c r="CN10" i="72"/>
  <c r="CF10" i="72"/>
  <c r="BX10" i="72"/>
  <c r="BP10" i="72"/>
  <c r="BH10" i="72"/>
  <c r="AZ10" i="72"/>
  <c r="AR10" i="72"/>
  <c r="AJ10" i="72"/>
  <c r="CU10" i="72"/>
  <c r="CE10" i="72"/>
  <c r="BW10" i="72"/>
  <c r="BO10" i="72"/>
  <c r="BG10" i="72"/>
  <c r="AY10" i="72"/>
  <c r="AQ10" i="72"/>
  <c r="AI10" i="72"/>
  <c r="CT10" i="72"/>
  <c r="CD10" i="72"/>
  <c r="BV10" i="72"/>
  <c r="BN10" i="72"/>
  <c r="AX10" i="72"/>
  <c r="AP10" i="72"/>
  <c r="AH10" i="72"/>
  <c r="B11" i="72"/>
  <c r="AP5" i="23" s="1"/>
  <c r="V5" i="25" s="1"/>
  <c r="A12" i="72"/>
  <c r="AO6" i="23" s="1"/>
  <c r="U6" i="25" s="1"/>
  <c r="BT11" i="71"/>
  <c r="BL11" i="71"/>
  <c r="AV11" i="71"/>
  <c r="AN11" i="71"/>
  <c r="BK11" i="71"/>
  <c r="AU11" i="71"/>
  <c r="AM11" i="71"/>
  <c r="BZ11" i="71"/>
  <c r="BR11" i="71"/>
  <c r="BJ11" i="71"/>
  <c r="AT11" i="71"/>
  <c r="AL11" i="71"/>
  <c r="CW11" i="71"/>
  <c r="CO11" i="71"/>
  <c r="BY11" i="71"/>
  <c r="BQ11" i="71"/>
  <c r="AS11" i="71"/>
  <c r="AK11" i="71"/>
  <c r="D11" i="71"/>
  <c r="BW11" i="71"/>
  <c r="BG11" i="71"/>
  <c r="AW11" i="71"/>
  <c r="AG11" i="71"/>
  <c r="BV11" i="71"/>
  <c r="AR11" i="71"/>
  <c r="CV11" i="71"/>
  <c r="BU11" i="71"/>
  <c r="AQ11" i="71"/>
  <c r="CE11" i="71"/>
  <c r="BP11" i="71"/>
  <c r="AP11" i="71"/>
  <c r="CT11" i="71"/>
  <c r="CD11" i="71"/>
  <c r="BO11" i="71"/>
  <c r="AO11" i="71"/>
  <c r="CS11" i="71"/>
  <c r="BN11" i="71"/>
  <c r="AZ11" i="71"/>
  <c r="AJ11" i="71"/>
  <c r="CN11" i="71"/>
  <c r="BM11" i="71"/>
  <c r="AY11" i="71"/>
  <c r="AI11" i="71"/>
  <c r="BH11" i="71"/>
  <c r="AX11" i="71"/>
  <c r="AH11" i="71"/>
  <c r="A13" i="71"/>
  <c r="AK7" i="23" s="1"/>
  <c r="P7" i="25" s="1"/>
  <c r="B12" i="71"/>
  <c r="AL6" i="23" s="1"/>
  <c r="Q6" i="25" s="1"/>
  <c r="O9" i="70"/>
  <c r="Q9" i="70" s="1"/>
  <c r="B12" i="69"/>
  <c r="AD6" i="23" s="1"/>
  <c r="G6" i="25" s="1"/>
  <c r="A13" i="69"/>
  <c r="AC7" i="23" s="1"/>
  <c r="F7" i="25" s="1"/>
  <c r="CU11" i="69"/>
  <c r="CE11" i="69"/>
  <c r="BW11" i="69"/>
  <c r="BO11" i="69"/>
  <c r="BG11" i="69"/>
  <c r="AY11" i="69"/>
  <c r="AQ11" i="69"/>
  <c r="AI11" i="69"/>
  <c r="CT11" i="69"/>
  <c r="CD11" i="69"/>
  <c r="BV11" i="69"/>
  <c r="BN11" i="69"/>
  <c r="AX11" i="69"/>
  <c r="AP11" i="69"/>
  <c r="AH11" i="69"/>
  <c r="CS11" i="69"/>
  <c r="BM11" i="69"/>
  <c r="AW11" i="69"/>
  <c r="AO11" i="69"/>
  <c r="AG11" i="69"/>
  <c r="BT11" i="69"/>
  <c r="BL11" i="69"/>
  <c r="AV11" i="69"/>
  <c r="AN11" i="69"/>
  <c r="BS11" i="69"/>
  <c r="AU11" i="69"/>
  <c r="AM11" i="69"/>
  <c r="CW11" i="69"/>
  <c r="CO11" i="69"/>
  <c r="BY11" i="69"/>
  <c r="BQ11" i="69"/>
  <c r="BI11" i="69"/>
  <c r="AR11" i="69"/>
  <c r="AL11" i="69"/>
  <c r="AS11" i="69"/>
  <c r="BZ11" i="69"/>
  <c r="AK11" i="69"/>
  <c r="CF11" i="69"/>
  <c r="CV11" i="69"/>
  <c r="BX11" i="69"/>
  <c r="AJ11" i="69"/>
  <c r="CP11" i="69"/>
  <c r="BR11" i="69"/>
  <c r="D11" i="69"/>
  <c r="CN11" i="69"/>
  <c r="AZ11" i="69"/>
  <c r="BJ11" i="69"/>
  <c r="AT11" i="69"/>
  <c r="BH11" i="69"/>
  <c r="BB10" i="69"/>
  <c r="BA10" i="69"/>
  <c r="BB9" i="68"/>
  <c r="BA9" i="68"/>
  <c r="BS11" i="68"/>
  <c r="AU11" i="68"/>
  <c r="AM11" i="68"/>
  <c r="CP11" i="68"/>
  <c r="BZ11" i="68"/>
  <c r="BR11" i="68"/>
  <c r="BJ11" i="68"/>
  <c r="AT11" i="68"/>
  <c r="AL11" i="68"/>
  <c r="CS11" i="68"/>
  <c r="BW11" i="68"/>
  <c r="BM11" i="68"/>
  <c r="AR11" i="68"/>
  <c r="AH11" i="68"/>
  <c r="CF11" i="68"/>
  <c r="BV11" i="68"/>
  <c r="BL11" i="68"/>
  <c r="AQ11" i="68"/>
  <c r="AG11" i="68"/>
  <c r="CO11" i="68"/>
  <c r="CE11" i="68"/>
  <c r="BI11" i="68"/>
  <c r="AZ11" i="68"/>
  <c r="AP11" i="68"/>
  <c r="CN11" i="68"/>
  <c r="CD11" i="68"/>
  <c r="BT11" i="68"/>
  <c r="BH11" i="68"/>
  <c r="AY11" i="68"/>
  <c r="AO11" i="68"/>
  <c r="D11" i="68"/>
  <c r="AB5" i="23" s="1"/>
  <c r="E5" i="25" s="1"/>
  <c r="CW11" i="68"/>
  <c r="BQ11" i="68"/>
  <c r="BG11" i="68"/>
  <c r="AX11" i="68"/>
  <c r="AN11" i="68"/>
  <c r="CV11" i="68"/>
  <c r="AW11" i="68"/>
  <c r="AK11" i="68"/>
  <c r="CU11" i="68"/>
  <c r="BY11" i="68"/>
  <c r="BO11" i="68"/>
  <c r="AV11" i="68"/>
  <c r="AJ11" i="68"/>
  <c r="CT11" i="68"/>
  <c r="BX11" i="68"/>
  <c r="BN11" i="68"/>
  <c r="AS11" i="68"/>
  <c r="AI11" i="68"/>
  <c r="A13" i="68"/>
  <c r="Y7" i="23" s="1"/>
  <c r="A7" i="25" s="1"/>
  <c r="B12" i="68"/>
  <c r="N9" i="67"/>
  <c r="O9" i="67"/>
  <c r="BB10" i="66"/>
  <c r="BA10" i="66"/>
  <c r="N9" i="65"/>
  <c r="A13" i="65"/>
  <c r="M7" i="23" s="1"/>
  <c r="P7" i="24" s="1"/>
  <c r="B12" i="65"/>
  <c r="N6" i="23" s="1"/>
  <c r="Q6" i="24" s="1"/>
  <c r="CW11" i="65"/>
  <c r="CO11" i="65"/>
  <c r="BY11" i="65"/>
  <c r="BQ11" i="65"/>
  <c r="BI11" i="65"/>
  <c r="AS11" i="65"/>
  <c r="AK11" i="65"/>
  <c r="D11" i="65"/>
  <c r="P5" i="23" s="1"/>
  <c r="T5" i="24" s="1"/>
  <c r="CV11" i="65"/>
  <c r="CN11" i="65"/>
  <c r="CF11" i="65"/>
  <c r="BX11" i="65"/>
  <c r="BP11" i="65"/>
  <c r="BH11" i="65"/>
  <c r="AZ11" i="65"/>
  <c r="AR11" i="65"/>
  <c r="AJ11" i="65"/>
  <c r="CU11" i="65"/>
  <c r="CE11" i="65"/>
  <c r="BW11" i="65"/>
  <c r="BO11" i="65"/>
  <c r="BG11" i="65"/>
  <c r="AY11" i="65"/>
  <c r="AQ11" i="65"/>
  <c r="AI11" i="65"/>
  <c r="CT11" i="65"/>
  <c r="CD11" i="65"/>
  <c r="BV11" i="65"/>
  <c r="BN11" i="65"/>
  <c r="AX11" i="65"/>
  <c r="AP11" i="65"/>
  <c r="AH11" i="65"/>
  <c r="CS11" i="65"/>
  <c r="BU11" i="65"/>
  <c r="BM11" i="65"/>
  <c r="AW11" i="65"/>
  <c r="AO11" i="65"/>
  <c r="AG11" i="65"/>
  <c r="CR11" i="65"/>
  <c r="BT11" i="65"/>
  <c r="BL11" i="65"/>
  <c r="AV11" i="65"/>
  <c r="AN11" i="65"/>
  <c r="BS11" i="65"/>
  <c r="BK11" i="65"/>
  <c r="AU11" i="65"/>
  <c r="AM11" i="65"/>
  <c r="CP11" i="65"/>
  <c r="BZ11" i="65"/>
  <c r="BR11" i="65"/>
  <c r="AT11" i="65"/>
  <c r="AL11" i="65"/>
  <c r="BB10" i="64"/>
  <c r="BA10" i="64"/>
  <c r="N10" i="64" s="1"/>
  <c r="CS11" i="64"/>
  <c r="BU11" i="64"/>
  <c r="BM11" i="64"/>
  <c r="AW11" i="64"/>
  <c r="AO11" i="64"/>
  <c r="AG11" i="64"/>
  <c r="CR11" i="64"/>
  <c r="BT11" i="64"/>
  <c r="BL11" i="64"/>
  <c r="AV11" i="64"/>
  <c r="AN11" i="64"/>
  <c r="BS11" i="64"/>
  <c r="BK11" i="64"/>
  <c r="AU11" i="64"/>
  <c r="AM11" i="64"/>
  <c r="CP11" i="64"/>
  <c r="CH11" i="64"/>
  <c r="BZ11" i="64"/>
  <c r="BR11" i="64"/>
  <c r="BJ11" i="64"/>
  <c r="AT11" i="64"/>
  <c r="AL11" i="64"/>
  <c r="CW11" i="64"/>
  <c r="CO11" i="64"/>
  <c r="BY11" i="64"/>
  <c r="BQ11" i="64"/>
  <c r="BI11" i="64"/>
  <c r="AS11" i="64"/>
  <c r="AK11" i="64"/>
  <c r="D11" i="64"/>
  <c r="L5" i="23" s="1"/>
  <c r="O5" i="24" s="1"/>
  <c r="CV11" i="64"/>
  <c r="CN11" i="64"/>
  <c r="CF11" i="64"/>
  <c r="BX11" i="64"/>
  <c r="BP11" i="64"/>
  <c r="BH11" i="64"/>
  <c r="AZ11" i="64"/>
  <c r="AR11" i="64"/>
  <c r="AJ11" i="64"/>
  <c r="CU11" i="64"/>
  <c r="BW11" i="64"/>
  <c r="BO11" i="64"/>
  <c r="AY11" i="64"/>
  <c r="AQ11" i="64"/>
  <c r="AI11" i="64"/>
  <c r="CT11" i="64"/>
  <c r="BV11" i="64"/>
  <c r="BN11" i="64"/>
  <c r="AX11" i="64"/>
  <c r="AP11" i="64"/>
  <c r="AH11" i="64"/>
  <c r="A13" i="64"/>
  <c r="I7" i="23" s="1"/>
  <c r="K7" i="24" s="1"/>
  <c r="B12" i="64"/>
  <c r="J6" i="23" s="1"/>
  <c r="L6" i="24" s="1"/>
  <c r="CA10" i="64"/>
  <c r="O10" i="64" s="1"/>
  <c r="BA9" i="63"/>
  <c r="N9" i="63" s="1"/>
  <c r="CS11" i="63"/>
  <c r="BU11" i="63"/>
  <c r="BM11" i="63"/>
  <c r="AW11" i="63"/>
  <c r="AO11" i="63"/>
  <c r="AG11" i="63"/>
  <c r="CR11" i="63"/>
  <c r="BT11" i="63"/>
  <c r="BL11" i="63"/>
  <c r="AV11" i="63"/>
  <c r="AN11" i="63"/>
  <c r="BR11" i="63"/>
  <c r="AT11" i="63"/>
  <c r="BS11" i="63"/>
  <c r="BK11" i="63"/>
  <c r="AU11" i="63"/>
  <c r="AM11" i="63"/>
  <c r="BJ11" i="63"/>
  <c r="CP11" i="63"/>
  <c r="CH11" i="63"/>
  <c r="BZ11" i="63"/>
  <c r="AL11" i="63"/>
  <c r="CW11" i="63"/>
  <c r="CO11" i="63"/>
  <c r="BY11" i="63"/>
  <c r="BQ11" i="63"/>
  <c r="BI11" i="63"/>
  <c r="AS11" i="63"/>
  <c r="AK11" i="63"/>
  <c r="D11" i="63"/>
  <c r="H5" i="23" s="1"/>
  <c r="J5" i="24" s="1"/>
  <c r="CV11" i="63"/>
  <c r="CN11" i="63"/>
  <c r="CF11" i="63"/>
  <c r="BX11" i="63"/>
  <c r="BP11" i="63"/>
  <c r="BH11" i="63"/>
  <c r="AZ11" i="63"/>
  <c r="AR11" i="63"/>
  <c r="AJ11" i="63"/>
  <c r="CT11" i="63"/>
  <c r="BV11" i="63"/>
  <c r="AY11" i="63"/>
  <c r="BO11" i="63"/>
  <c r="AX11" i="63"/>
  <c r="AP11" i="63"/>
  <c r="CD11" i="63"/>
  <c r="BW11" i="63"/>
  <c r="BN11" i="63"/>
  <c r="AQ11" i="63"/>
  <c r="BG11" i="63"/>
  <c r="AI11" i="63"/>
  <c r="CE11" i="63"/>
  <c r="AH11" i="63"/>
  <c r="CU11" i="63"/>
  <c r="B12" i="63"/>
  <c r="F6" i="23" s="1"/>
  <c r="G6" i="24" s="1"/>
  <c r="A13" i="63"/>
  <c r="E7" i="23" s="1"/>
  <c r="F7" i="24" s="1"/>
  <c r="AA10" i="41"/>
  <c r="Z11" i="41"/>
  <c r="Z12" i="41"/>
  <c r="Z13" i="41"/>
  <c r="Z14" i="41"/>
  <c r="Z17" i="41"/>
  <c r="Z18" i="41"/>
  <c r="Z19" i="41"/>
  <c r="Z20" i="41"/>
  <c r="Z21" i="41"/>
  <c r="Z22" i="41"/>
  <c r="Z24" i="41"/>
  <c r="Z26" i="41"/>
  <c r="Z27" i="41"/>
  <c r="Z28" i="41"/>
  <c r="Z29" i="41"/>
  <c r="Z30" i="41"/>
  <c r="Z31" i="41"/>
  <c r="Z32" i="41"/>
  <c r="Z33" i="41"/>
  <c r="Z34" i="41"/>
  <c r="Z35" i="41"/>
  <c r="Z36" i="41"/>
  <c r="Z37" i="41"/>
  <c r="Z39" i="41"/>
  <c r="Z40" i="41"/>
  <c r="E4" i="47"/>
  <c r="A52" i="41"/>
  <c r="A47" i="41"/>
  <c r="A46" i="41"/>
  <c r="A45" i="41"/>
  <c r="A43" i="41"/>
  <c r="D4" i="49"/>
  <c r="E4" i="49"/>
  <c r="F4" i="49"/>
  <c r="G4" i="49"/>
  <c r="C4" i="49"/>
  <c r="B17" i="48"/>
  <c r="B18" i="48"/>
  <c r="B19" i="48"/>
  <c r="B20" i="48"/>
  <c r="B21" i="48"/>
  <c r="B22" i="48"/>
  <c r="A17" i="48"/>
  <c r="A18" i="48"/>
  <c r="A19" i="48"/>
  <c r="A20" i="48"/>
  <c r="A21" i="48"/>
  <c r="A22" i="48"/>
  <c r="D5" i="49"/>
  <c r="E5" i="49"/>
  <c r="F5" i="49"/>
  <c r="G5" i="49"/>
  <c r="D6" i="49"/>
  <c r="E6" i="49"/>
  <c r="F6" i="49"/>
  <c r="G6" i="49"/>
  <c r="D7" i="49"/>
  <c r="E7" i="49"/>
  <c r="F7" i="49"/>
  <c r="G7" i="49"/>
  <c r="D8" i="49"/>
  <c r="E8" i="49"/>
  <c r="F8" i="49"/>
  <c r="G8" i="49"/>
  <c r="D9" i="49"/>
  <c r="E9" i="49"/>
  <c r="F9" i="49"/>
  <c r="G9" i="49"/>
  <c r="D10" i="49"/>
  <c r="E10" i="49"/>
  <c r="F10" i="49"/>
  <c r="G10" i="49"/>
  <c r="D11" i="49"/>
  <c r="E11" i="49"/>
  <c r="F11" i="49"/>
  <c r="G11" i="49"/>
  <c r="D12" i="49"/>
  <c r="E12" i="49"/>
  <c r="F12" i="49"/>
  <c r="G12" i="49"/>
  <c r="D13" i="49"/>
  <c r="E13" i="49"/>
  <c r="F13" i="49"/>
  <c r="G13" i="49"/>
  <c r="D14" i="49"/>
  <c r="E14" i="49"/>
  <c r="F14" i="49"/>
  <c r="G14" i="49"/>
  <c r="D15" i="49"/>
  <c r="E15" i="49"/>
  <c r="F15" i="49"/>
  <c r="G15" i="49"/>
  <c r="D16" i="49"/>
  <c r="E16" i="49"/>
  <c r="F16" i="49"/>
  <c r="G16" i="49"/>
  <c r="D17" i="49"/>
  <c r="E17" i="49"/>
  <c r="F17" i="49"/>
  <c r="G17" i="49"/>
  <c r="D18" i="49"/>
  <c r="E18" i="49"/>
  <c r="F18" i="49"/>
  <c r="G18" i="49"/>
  <c r="D19" i="49"/>
  <c r="E19" i="49"/>
  <c r="F19" i="49"/>
  <c r="G19" i="49"/>
  <c r="D20" i="49"/>
  <c r="E20" i="49"/>
  <c r="F20" i="49"/>
  <c r="G20" i="49"/>
  <c r="D21" i="49"/>
  <c r="E21" i="49"/>
  <c r="F21" i="49"/>
  <c r="G21" i="49"/>
  <c r="D22" i="49"/>
  <c r="E22" i="49"/>
  <c r="F22" i="49"/>
  <c r="G22" i="49"/>
  <c r="B17" i="49"/>
  <c r="B18" i="49"/>
  <c r="B19" i="49"/>
  <c r="B20" i="49"/>
  <c r="B21" i="49"/>
  <c r="B22" i="49"/>
  <c r="A17" i="49"/>
  <c r="A18" i="49"/>
  <c r="A19" i="49"/>
  <c r="A20" i="49"/>
  <c r="A21" i="49"/>
  <c r="A22" i="49"/>
  <c r="F2" i="47"/>
  <c r="D2" i="47"/>
  <c r="F2" i="49"/>
  <c r="D2" i="49"/>
  <c r="F2" i="48"/>
  <c r="D2" i="48"/>
  <c r="A1" i="48"/>
  <c r="A1" i="49"/>
  <c r="G4" i="47"/>
  <c r="D5" i="47"/>
  <c r="E5" i="47"/>
  <c r="F5" i="47"/>
  <c r="G5" i="47"/>
  <c r="D6" i="47"/>
  <c r="E6" i="47"/>
  <c r="F6" i="47"/>
  <c r="G6" i="47"/>
  <c r="D7" i="47"/>
  <c r="E7" i="47"/>
  <c r="F7" i="47"/>
  <c r="G7" i="47"/>
  <c r="D8" i="47"/>
  <c r="E8" i="47"/>
  <c r="F8" i="47"/>
  <c r="G8" i="47"/>
  <c r="D9" i="47"/>
  <c r="E9" i="47"/>
  <c r="F9" i="47"/>
  <c r="G9" i="47"/>
  <c r="D10" i="47"/>
  <c r="E10" i="47"/>
  <c r="F10" i="47"/>
  <c r="G10" i="47"/>
  <c r="D11" i="47"/>
  <c r="E11" i="47"/>
  <c r="F11" i="47"/>
  <c r="G11" i="47"/>
  <c r="D12" i="47"/>
  <c r="E12" i="47"/>
  <c r="F12" i="47"/>
  <c r="G12" i="47"/>
  <c r="D13" i="47"/>
  <c r="E13" i="47"/>
  <c r="F13" i="47"/>
  <c r="G13" i="47"/>
  <c r="D14" i="47"/>
  <c r="E14" i="47"/>
  <c r="F14" i="47"/>
  <c r="G14" i="47"/>
  <c r="D15" i="47"/>
  <c r="E15" i="47"/>
  <c r="F15" i="47"/>
  <c r="G15" i="47"/>
  <c r="D16" i="47"/>
  <c r="E16" i="47"/>
  <c r="F16" i="47"/>
  <c r="G16" i="47"/>
  <c r="D17" i="47"/>
  <c r="E17" i="47"/>
  <c r="F17" i="47"/>
  <c r="G17" i="47"/>
  <c r="D18" i="47"/>
  <c r="E18" i="47"/>
  <c r="F18" i="47"/>
  <c r="G18" i="47"/>
  <c r="D19" i="47"/>
  <c r="E19" i="47"/>
  <c r="F19" i="47"/>
  <c r="G19" i="47"/>
  <c r="D20" i="47"/>
  <c r="E20" i="47"/>
  <c r="F20" i="47"/>
  <c r="G20" i="47"/>
  <c r="D21" i="47"/>
  <c r="E21" i="47"/>
  <c r="F21" i="47"/>
  <c r="G21" i="47"/>
  <c r="D22" i="47"/>
  <c r="E22" i="47"/>
  <c r="F22" i="47"/>
  <c r="G22" i="47"/>
  <c r="F4" i="47"/>
  <c r="C5" i="47"/>
  <c r="C6" i="47"/>
  <c r="C7" i="47"/>
  <c r="C8" i="47"/>
  <c r="C9" i="47"/>
  <c r="C10" i="47"/>
  <c r="C11" i="47"/>
  <c r="C12" i="47"/>
  <c r="C13" i="47"/>
  <c r="C14" i="47"/>
  <c r="C15" i="47"/>
  <c r="C16" i="47"/>
  <c r="C17" i="47"/>
  <c r="C18" i="47"/>
  <c r="C19" i="47"/>
  <c r="C20" i="47"/>
  <c r="C21" i="47"/>
  <c r="C22" i="47"/>
  <c r="A17" i="47"/>
  <c r="B17" i="47"/>
  <c r="A18" i="47"/>
  <c r="B18" i="47"/>
  <c r="A19" i="47"/>
  <c r="B19" i="47"/>
  <c r="A20" i="47"/>
  <c r="B20" i="47"/>
  <c r="A21" i="47"/>
  <c r="B21" i="47"/>
  <c r="A22" i="47"/>
  <c r="B22" i="47"/>
  <c r="C5" i="49"/>
  <c r="C6" i="49"/>
  <c r="C7" i="49"/>
  <c r="C8" i="49"/>
  <c r="C9" i="49"/>
  <c r="C10" i="49"/>
  <c r="C11" i="49"/>
  <c r="C12" i="49"/>
  <c r="C13" i="49"/>
  <c r="C14" i="49"/>
  <c r="C15" i="49"/>
  <c r="C16" i="49"/>
  <c r="C17" i="49"/>
  <c r="C18" i="49"/>
  <c r="C19" i="49"/>
  <c r="C20" i="49"/>
  <c r="C21" i="49"/>
  <c r="C22" i="49"/>
  <c r="A1" i="47"/>
  <c r="D4" i="47"/>
  <c r="C4" i="47"/>
  <c r="B17" i="46"/>
  <c r="B18" i="46"/>
  <c r="B19" i="46"/>
  <c r="B20" i="46"/>
  <c r="B21" i="46"/>
  <c r="B22" i="46"/>
  <c r="A17" i="46"/>
  <c r="A18" i="46"/>
  <c r="A19" i="46"/>
  <c r="A20" i="46"/>
  <c r="A21" i="46"/>
  <c r="A22"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18" i="46"/>
  <c r="D18" i="46"/>
  <c r="E18" i="46"/>
  <c r="F18" i="46"/>
  <c r="G18" i="46"/>
  <c r="C19" i="46"/>
  <c r="D19" i="46"/>
  <c r="E19" i="46"/>
  <c r="F19" i="46"/>
  <c r="G19" i="46"/>
  <c r="C20" i="46"/>
  <c r="D20" i="46"/>
  <c r="E20" i="46"/>
  <c r="F20" i="46"/>
  <c r="G20" i="46"/>
  <c r="C21" i="46"/>
  <c r="D21" i="46"/>
  <c r="E21" i="46"/>
  <c r="F21" i="46"/>
  <c r="G21" i="46"/>
  <c r="C22" i="46"/>
  <c r="D22" i="46"/>
  <c r="E22" i="46"/>
  <c r="F22" i="46"/>
  <c r="G22" i="46"/>
  <c r="D4" i="46"/>
  <c r="E4" i="46"/>
  <c r="F4" i="46"/>
  <c r="G4" i="46"/>
  <c r="C4" i="46"/>
  <c r="A1" i="46"/>
  <c r="H46" i="64" l="1"/>
  <c r="J34" i="23"/>
  <c r="BB11" i="70"/>
  <c r="AG6" i="23"/>
  <c r="K6" i="25" s="1"/>
  <c r="A13" i="70"/>
  <c r="B12" i="70"/>
  <c r="T5" i="25"/>
  <c r="AN5" i="23"/>
  <c r="O5" i="25"/>
  <c r="AJ5" i="23"/>
  <c r="BN11" i="73"/>
  <c r="AT5" i="23"/>
  <c r="AA5" i="25" s="1"/>
  <c r="AJ4" i="23"/>
  <c r="O4" i="25"/>
  <c r="U6" i="23"/>
  <c r="Z6" i="24" s="1"/>
  <c r="B12" i="67"/>
  <c r="A13" i="67"/>
  <c r="V5" i="23"/>
  <c r="AA5" i="24" s="1"/>
  <c r="CI11" i="67"/>
  <c r="AO11" i="67"/>
  <c r="BQ11" i="67"/>
  <c r="AX11" i="67"/>
  <c r="BX11" i="67"/>
  <c r="AS11" i="67"/>
  <c r="CW11" i="67"/>
  <c r="AP11" i="67"/>
  <c r="AG11" i="67"/>
  <c r="AL11" i="67"/>
  <c r="AI11" i="67"/>
  <c r="D11" i="67"/>
  <c r="X5" i="23" s="1"/>
  <c r="AD5" i="24" s="1"/>
  <c r="AN11" i="67"/>
  <c r="BW11" i="67"/>
  <c r="AZ11" i="67"/>
  <c r="CL11" i="67"/>
  <c r="BG11" i="67"/>
  <c r="BN11" i="67"/>
  <c r="BS11" i="67"/>
  <c r="BH11" i="67"/>
  <c r="CF11" i="67"/>
  <c r="CQ11" i="67"/>
  <c r="CR11" i="67"/>
  <c r="AY11" i="67"/>
  <c r="BY11" i="67"/>
  <c r="AT11" i="67"/>
  <c r="CN11" i="67"/>
  <c r="BI11" i="67"/>
  <c r="BZ11" i="67"/>
  <c r="AH11" i="67"/>
  <c r="CJ11" i="67"/>
  <c r="BT11" i="67"/>
  <c r="AM11" i="67"/>
  <c r="BO11" i="67"/>
  <c r="AJ11" i="67"/>
  <c r="CD11" i="67"/>
  <c r="AQ11" i="67"/>
  <c r="BM11" i="67"/>
  <c r="CP11" i="67"/>
  <c r="BP11" i="67"/>
  <c r="CK11" i="67"/>
  <c r="CS11" i="67"/>
  <c r="BL11" i="67"/>
  <c r="CT11" i="67"/>
  <c r="AU11" i="67"/>
  <c r="CO11" i="67"/>
  <c r="BV11" i="67"/>
  <c r="CV11" i="67"/>
  <c r="BU11" i="67"/>
  <c r="CH11" i="67"/>
  <c r="CE11" i="67"/>
  <c r="BR11" i="67"/>
  <c r="CG11" i="67"/>
  <c r="CU11" i="67"/>
  <c r="CM11" i="67"/>
  <c r="AV11" i="67"/>
  <c r="AK11" i="67"/>
  <c r="BJ11" i="67"/>
  <c r="AR11" i="67"/>
  <c r="AW11" i="67"/>
  <c r="BK11" i="67"/>
  <c r="AR4" i="23"/>
  <c r="Y4" i="25"/>
  <c r="Z6" i="23"/>
  <c r="B6" i="25" s="1"/>
  <c r="J5" i="25"/>
  <c r="AF5" i="23"/>
  <c r="Q6" i="23"/>
  <c r="U6" i="24" s="1"/>
  <c r="A13" i="66"/>
  <c r="B12" i="66"/>
  <c r="R5" i="23"/>
  <c r="V5" i="24" s="1"/>
  <c r="CI11" i="66"/>
  <c r="BP11" i="66"/>
  <c r="BO11" i="66"/>
  <c r="AX11" i="66"/>
  <c r="BK11" i="66"/>
  <c r="CR11" i="66"/>
  <c r="BZ11" i="66"/>
  <c r="CQ11" i="66"/>
  <c r="AK11" i="66"/>
  <c r="BH11" i="66"/>
  <c r="BG11" i="66"/>
  <c r="D11" i="66"/>
  <c r="T5" i="23" s="1"/>
  <c r="Y5" i="24" s="1"/>
  <c r="BJ11" i="66"/>
  <c r="BU11" i="66"/>
  <c r="AG11" i="66"/>
  <c r="CF11" i="66"/>
  <c r="CT11" i="66"/>
  <c r="CJ11" i="66"/>
  <c r="AU11" i="66"/>
  <c r="AZ11" i="66"/>
  <c r="AY11" i="66"/>
  <c r="AM11" i="66"/>
  <c r="BT11" i="66"/>
  <c r="AS11" i="66"/>
  <c r="CD11" i="66"/>
  <c r="AV11" i="66"/>
  <c r="CH11" i="66"/>
  <c r="CM11" i="66"/>
  <c r="AH11" i="66"/>
  <c r="BQ11" i="66"/>
  <c r="AR11" i="66"/>
  <c r="AQ11" i="66"/>
  <c r="AW11" i="66"/>
  <c r="BM11" i="66"/>
  <c r="CL11" i="66"/>
  <c r="CE11" i="66"/>
  <c r="BW11" i="66"/>
  <c r="CK11" i="66"/>
  <c r="AT11" i="66"/>
  <c r="CV11" i="66"/>
  <c r="AJ11" i="66"/>
  <c r="AI11" i="66"/>
  <c r="BI11" i="66"/>
  <c r="CP11" i="66"/>
  <c r="AP11" i="66"/>
  <c r="BY11" i="66"/>
  <c r="CO11" i="66"/>
  <c r="BX11" i="66"/>
  <c r="CG11" i="66"/>
  <c r="BN11" i="66"/>
  <c r="CN11" i="66"/>
  <c r="CU11" i="66"/>
  <c r="AL11" i="66"/>
  <c r="BS11" i="66"/>
  <c r="BL11" i="66"/>
  <c r="CS11" i="66"/>
  <c r="BV11" i="66"/>
  <c r="BR11" i="66"/>
  <c r="AN11" i="66"/>
  <c r="CW11" i="66"/>
  <c r="AO11" i="66"/>
  <c r="BA10" i="63"/>
  <c r="N10" i="63" s="1"/>
  <c r="BB10" i="63"/>
  <c r="V45" i="65"/>
  <c r="V52" i="65" s="1"/>
  <c r="V45" i="66" s="1"/>
  <c r="BA11" i="70"/>
  <c r="N11" i="70" s="1"/>
  <c r="CA11" i="70"/>
  <c r="O11" i="70" s="1"/>
  <c r="AR11" i="73"/>
  <c r="CO11" i="73"/>
  <c r="AH11" i="73"/>
  <c r="AI11" i="73"/>
  <c r="AZ11" i="73"/>
  <c r="AT11" i="73"/>
  <c r="AQ11" i="73"/>
  <c r="BH11" i="73"/>
  <c r="BJ11" i="73"/>
  <c r="AY11" i="73"/>
  <c r="BP11" i="73"/>
  <c r="BK11" i="73"/>
  <c r="CE11" i="73"/>
  <c r="BG11" i="73"/>
  <c r="BX11" i="73"/>
  <c r="BS11" i="73"/>
  <c r="BQ11" i="73"/>
  <c r="BO11" i="73"/>
  <c r="CF11" i="73"/>
  <c r="AV11" i="73"/>
  <c r="BB10" i="70"/>
  <c r="BA10" i="70"/>
  <c r="N10" i="70" s="1"/>
  <c r="D30" i="74"/>
  <c r="D28" i="74"/>
  <c r="D32" i="74"/>
  <c r="CA10" i="70"/>
  <c r="O10" i="70" s="1"/>
  <c r="BV11" i="73"/>
  <c r="BY11" i="73"/>
  <c r="AN11" i="73"/>
  <c r="AO11" i="73"/>
  <c r="CU11" i="73"/>
  <c r="CN11" i="73"/>
  <c r="BR11" i="73"/>
  <c r="AW11" i="73"/>
  <c r="AJ11" i="73"/>
  <c r="CV11" i="73"/>
  <c r="CP11" i="73"/>
  <c r="BU11" i="73"/>
  <c r="CD11" i="73"/>
  <c r="BM11" i="73"/>
  <c r="AP11" i="73"/>
  <c r="AS11" i="73"/>
  <c r="BZ11" i="73"/>
  <c r="CR11" i="73"/>
  <c r="AX11" i="73"/>
  <c r="BI11" i="73"/>
  <c r="CH11" i="73"/>
  <c r="AG11" i="73"/>
  <c r="CG12" i="73"/>
  <c r="CI12" i="73"/>
  <c r="CJ12" i="73"/>
  <c r="CK12" i="73"/>
  <c r="CL12" i="73"/>
  <c r="CQ12" i="73"/>
  <c r="CM12" i="73"/>
  <c r="CI12" i="68"/>
  <c r="CG12" i="68"/>
  <c r="CJ12" i="68"/>
  <c r="CK12" i="68"/>
  <c r="CL12" i="68"/>
  <c r="CQ12" i="68"/>
  <c r="CM12" i="68"/>
  <c r="CJ12" i="71"/>
  <c r="CK12" i="71"/>
  <c r="CL12" i="71"/>
  <c r="CQ12" i="71"/>
  <c r="CM12" i="71"/>
  <c r="CI12" i="71"/>
  <c r="CI12" i="69"/>
  <c r="CJ12" i="69"/>
  <c r="CK12" i="69"/>
  <c r="CL12" i="69"/>
  <c r="CQ12" i="69"/>
  <c r="CM12" i="69"/>
  <c r="CG12" i="69"/>
  <c r="CI11" i="72"/>
  <c r="CJ11" i="72"/>
  <c r="CK11" i="72"/>
  <c r="CL11" i="72"/>
  <c r="CM11" i="72"/>
  <c r="CG11" i="72"/>
  <c r="CQ11" i="72"/>
  <c r="CT11" i="73"/>
  <c r="CK11" i="73"/>
  <c r="CG11" i="73"/>
  <c r="CI11" i="73"/>
  <c r="CL11" i="73"/>
  <c r="CM11" i="73"/>
  <c r="CQ11" i="73"/>
  <c r="CJ11" i="73"/>
  <c r="CI12" i="65"/>
  <c r="CJ12" i="65"/>
  <c r="CK12" i="65"/>
  <c r="CL12" i="65"/>
  <c r="CG12" i="65"/>
  <c r="CM12" i="65"/>
  <c r="CQ12" i="65"/>
  <c r="CI12" i="64"/>
  <c r="CL12" i="64"/>
  <c r="CM12" i="64"/>
  <c r="CG12" i="64"/>
  <c r="CQ12" i="64"/>
  <c r="CJ12" i="64"/>
  <c r="CK12" i="64"/>
  <c r="CI12" i="63"/>
  <c r="CJ12" i="63"/>
  <c r="CK12" i="63"/>
  <c r="CL12" i="63"/>
  <c r="CM12" i="63"/>
  <c r="CG12" i="63"/>
  <c r="CQ12" i="63"/>
  <c r="BB10" i="67"/>
  <c r="CW11" i="73"/>
  <c r="AM11" i="73"/>
  <c r="BT11" i="73"/>
  <c r="D11" i="73"/>
  <c r="AL11" i="73"/>
  <c r="AU11" i="73"/>
  <c r="CS11" i="73"/>
  <c r="BB10" i="65"/>
  <c r="BA10" i="65"/>
  <c r="N10" i="65" s="1"/>
  <c r="CX10" i="67"/>
  <c r="P10" i="67" s="1"/>
  <c r="BA10" i="67"/>
  <c r="N10" i="67" s="1"/>
  <c r="CA10" i="67"/>
  <c r="O10" i="67" s="1"/>
  <c r="F26" i="50"/>
  <c r="Q10" i="73"/>
  <c r="A14" i="73"/>
  <c r="AS8" i="23" s="1"/>
  <c r="Z8" i="25" s="1"/>
  <c r="B13" i="73"/>
  <c r="AT7" i="23" s="1"/>
  <c r="AA7" i="25" s="1"/>
  <c r="CW12" i="73"/>
  <c r="CV12" i="73"/>
  <c r="CN12" i="73"/>
  <c r="CF12" i="73"/>
  <c r="BX12" i="73"/>
  <c r="BP12" i="73"/>
  <c r="CS12" i="73"/>
  <c r="BR12" i="73"/>
  <c r="BI12" i="73"/>
  <c r="AS12" i="73"/>
  <c r="AK12" i="73"/>
  <c r="D12" i="73"/>
  <c r="CR12" i="73"/>
  <c r="BZ12" i="73"/>
  <c r="BQ12" i="73"/>
  <c r="BH12" i="73"/>
  <c r="AZ12" i="73"/>
  <c r="AR12" i="73"/>
  <c r="AJ12" i="73"/>
  <c r="CH12" i="73"/>
  <c r="BY12" i="73"/>
  <c r="BO12" i="73"/>
  <c r="BG12" i="73"/>
  <c r="AY12" i="73"/>
  <c r="AQ12" i="73"/>
  <c r="AI12" i="73"/>
  <c r="CP12" i="73"/>
  <c r="BW12" i="73"/>
  <c r="BN12" i="73"/>
  <c r="AX12" i="73"/>
  <c r="AP12" i="73"/>
  <c r="AH12" i="73"/>
  <c r="CO12" i="73"/>
  <c r="CE12" i="73"/>
  <c r="BV12" i="73"/>
  <c r="BM12" i="73"/>
  <c r="AW12" i="73"/>
  <c r="AO12" i="73"/>
  <c r="AG12" i="73"/>
  <c r="CD12" i="73"/>
  <c r="BU12" i="73"/>
  <c r="BL12" i="73"/>
  <c r="AV12" i="73"/>
  <c r="AN12" i="73"/>
  <c r="CU12" i="73"/>
  <c r="BT12" i="73"/>
  <c r="BK12" i="73"/>
  <c r="AU12" i="73"/>
  <c r="AM12" i="73"/>
  <c r="CT12" i="73"/>
  <c r="BS12" i="73"/>
  <c r="BJ12" i="73"/>
  <c r="AT12" i="73"/>
  <c r="AL12" i="73"/>
  <c r="Q9" i="73"/>
  <c r="CV11" i="72"/>
  <c r="CN11" i="72"/>
  <c r="CF11" i="72"/>
  <c r="BX11" i="72"/>
  <c r="BP11" i="72"/>
  <c r="BH11" i="72"/>
  <c r="AZ11" i="72"/>
  <c r="AR11" i="72"/>
  <c r="AJ11" i="72"/>
  <c r="CU11" i="72"/>
  <c r="CE11" i="72"/>
  <c r="BW11" i="72"/>
  <c r="BO11" i="72"/>
  <c r="BG11" i="72"/>
  <c r="AY11" i="72"/>
  <c r="AQ11" i="72"/>
  <c r="AI11" i="72"/>
  <c r="CT11" i="72"/>
  <c r="BV11" i="72"/>
  <c r="BN11" i="72"/>
  <c r="AX11" i="72"/>
  <c r="AP11" i="72"/>
  <c r="AH11" i="72"/>
  <c r="BU11" i="72"/>
  <c r="BM11" i="72"/>
  <c r="AW11" i="72"/>
  <c r="AO11" i="72"/>
  <c r="AG11" i="72"/>
  <c r="CR11" i="72"/>
  <c r="BT11" i="72"/>
  <c r="BL11" i="72"/>
  <c r="AV11" i="72"/>
  <c r="AN11" i="72"/>
  <c r="BS11" i="72"/>
  <c r="BK11" i="72"/>
  <c r="AU11" i="72"/>
  <c r="AM11" i="72"/>
  <c r="CP11" i="72"/>
  <c r="CH11" i="72"/>
  <c r="BZ11" i="72"/>
  <c r="BR11" i="72"/>
  <c r="BJ11" i="72"/>
  <c r="AT11" i="72"/>
  <c r="AL11" i="72"/>
  <c r="CW11" i="72"/>
  <c r="CO11" i="72"/>
  <c r="BY11" i="72"/>
  <c r="BQ11" i="72"/>
  <c r="BI11" i="72"/>
  <c r="AS11" i="72"/>
  <c r="AK11" i="72"/>
  <c r="D11" i="72"/>
  <c r="BB10" i="72"/>
  <c r="BA10" i="72"/>
  <c r="B12" i="72"/>
  <c r="AP6" i="23" s="1"/>
  <c r="V6" i="25" s="1"/>
  <c r="A13" i="72"/>
  <c r="AO7" i="23" s="1"/>
  <c r="U7" i="25" s="1"/>
  <c r="B13" i="71"/>
  <c r="AL7" i="23" s="1"/>
  <c r="Q7" i="25" s="1"/>
  <c r="A14" i="71"/>
  <c r="AK8" i="23" s="1"/>
  <c r="P8" i="25" s="1"/>
  <c r="BB11" i="71"/>
  <c r="BA11" i="71"/>
  <c r="CU12" i="71"/>
  <c r="CE12" i="71"/>
  <c r="BW12" i="71"/>
  <c r="BO12" i="71"/>
  <c r="BG12" i="71"/>
  <c r="AY12" i="71"/>
  <c r="AQ12" i="71"/>
  <c r="AI12" i="71"/>
  <c r="CT12" i="71"/>
  <c r="CD12" i="71"/>
  <c r="BV12" i="71"/>
  <c r="BN12" i="71"/>
  <c r="AX12" i="71"/>
  <c r="AP12" i="71"/>
  <c r="AH12" i="71"/>
  <c r="CS12" i="71"/>
  <c r="BU12" i="71"/>
  <c r="BM12" i="71"/>
  <c r="AW12" i="71"/>
  <c r="AO12" i="71"/>
  <c r="AG12" i="71"/>
  <c r="CR12" i="71"/>
  <c r="BL12" i="71"/>
  <c r="AV12" i="71"/>
  <c r="AN12" i="71"/>
  <c r="CF12" i="71"/>
  <c r="BR12" i="71"/>
  <c r="AS12" i="71"/>
  <c r="BQ12" i="71"/>
  <c r="AR12" i="71"/>
  <c r="CP12" i="71"/>
  <c r="BP12" i="71"/>
  <c r="AM12" i="71"/>
  <c r="CO12" i="71"/>
  <c r="BK12" i="71"/>
  <c r="AL12" i="71"/>
  <c r="CN12" i="71"/>
  <c r="BZ12" i="71"/>
  <c r="AK12" i="71"/>
  <c r="BI12" i="71"/>
  <c r="AZ12" i="71"/>
  <c r="AJ12" i="71"/>
  <c r="CH12" i="71"/>
  <c r="BX12" i="71"/>
  <c r="BH12" i="71"/>
  <c r="AU12" i="71"/>
  <c r="CW12" i="71"/>
  <c r="BS12" i="71"/>
  <c r="AT12" i="71"/>
  <c r="D12" i="71"/>
  <c r="N10" i="69"/>
  <c r="BB11" i="69"/>
  <c r="BA11" i="69"/>
  <c r="N11" i="69" s="1"/>
  <c r="A14" i="69"/>
  <c r="AC8" i="23" s="1"/>
  <c r="F8" i="25" s="1"/>
  <c r="B13" i="69"/>
  <c r="AD7" i="23" s="1"/>
  <c r="G7" i="25" s="1"/>
  <c r="CP12" i="69"/>
  <c r="CH12" i="69"/>
  <c r="BZ12" i="69"/>
  <c r="BR12" i="69"/>
  <c r="BJ12" i="69"/>
  <c r="AT12" i="69"/>
  <c r="AL12" i="69"/>
  <c r="CW12" i="69"/>
  <c r="CO12" i="69"/>
  <c r="BY12" i="69"/>
  <c r="BQ12" i="69"/>
  <c r="BI12" i="69"/>
  <c r="AS12" i="69"/>
  <c r="AK12" i="69"/>
  <c r="D12" i="69"/>
  <c r="CV12" i="69"/>
  <c r="CF12" i="69"/>
  <c r="BX12" i="69"/>
  <c r="BP12" i="69"/>
  <c r="BH12" i="69"/>
  <c r="AZ12" i="69"/>
  <c r="AR12" i="69"/>
  <c r="AJ12" i="69"/>
  <c r="CU12" i="69"/>
  <c r="CE12" i="69"/>
  <c r="BW12" i="69"/>
  <c r="BO12" i="69"/>
  <c r="BG12" i="69"/>
  <c r="AY12" i="69"/>
  <c r="AQ12" i="69"/>
  <c r="AI12" i="69"/>
  <c r="CT12" i="69"/>
  <c r="BV12" i="69"/>
  <c r="BN12" i="69"/>
  <c r="AX12" i="69"/>
  <c r="AP12" i="69"/>
  <c r="AH12" i="69"/>
  <c r="CS12" i="69"/>
  <c r="BU12" i="69"/>
  <c r="BM12" i="69"/>
  <c r="AW12" i="69"/>
  <c r="AO12" i="69"/>
  <c r="AG12" i="69"/>
  <c r="CR12" i="69"/>
  <c r="BT12" i="69"/>
  <c r="BL12" i="69"/>
  <c r="AV12" i="69"/>
  <c r="AN12" i="69"/>
  <c r="AU12" i="69"/>
  <c r="AM12" i="69"/>
  <c r="BS12" i="69"/>
  <c r="BK12" i="69"/>
  <c r="CR12" i="68"/>
  <c r="BT12" i="68"/>
  <c r="BL12" i="68"/>
  <c r="AV12" i="68"/>
  <c r="AN12" i="68"/>
  <c r="BS12" i="68"/>
  <c r="BK12" i="68"/>
  <c r="AU12" i="68"/>
  <c r="AM12" i="68"/>
  <c r="CS12" i="68"/>
  <c r="BX12" i="68"/>
  <c r="BN12" i="68"/>
  <c r="AT12" i="68"/>
  <c r="AJ12" i="68"/>
  <c r="CP12" i="68"/>
  <c r="CF12" i="68"/>
  <c r="BW12" i="68"/>
  <c r="BM12" i="68"/>
  <c r="AS12" i="68"/>
  <c r="AI12" i="68"/>
  <c r="CN12" i="68"/>
  <c r="BO12" i="68"/>
  <c r="AQ12" i="68"/>
  <c r="D12" i="68"/>
  <c r="AB6" i="23" s="1"/>
  <c r="E6" i="25" s="1"/>
  <c r="BZ12" i="68"/>
  <c r="BJ12" i="68"/>
  <c r="AP12" i="68"/>
  <c r="BY12" i="68"/>
  <c r="BI12" i="68"/>
  <c r="AO12" i="68"/>
  <c r="CW12" i="68"/>
  <c r="BV12" i="68"/>
  <c r="BH12" i="68"/>
  <c r="AZ12" i="68"/>
  <c r="AL12" i="68"/>
  <c r="CV12" i="68"/>
  <c r="CH12" i="68"/>
  <c r="BU12" i="68"/>
  <c r="BG12" i="68"/>
  <c r="AY12" i="68"/>
  <c r="AK12" i="68"/>
  <c r="CU12" i="68"/>
  <c r="CE12" i="68"/>
  <c r="BR12" i="68"/>
  <c r="AX12" i="68"/>
  <c r="AH12" i="68"/>
  <c r="CT12" i="68"/>
  <c r="CD12" i="68"/>
  <c r="BQ12" i="68"/>
  <c r="AW12" i="68"/>
  <c r="AG12" i="68"/>
  <c r="CO12" i="68"/>
  <c r="BP12" i="68"/>
  <c r="AR12" i="68"/>
  <c r="B13" i="68"/>
  <c r="Z7" i="23" s="1"/>
  <c r="B7" i="25" s="1"/>
  <c r="A14" i="68"/>
  <c r="Y8" i="23" s="1"/>
  <c r="A8" i="25" s="1"/>
  <c r="N9" i="68"/>
  <c r="BB11" i="68"/>
  <c r="BA11" i="68"/>
  <c r="N11" i="68" s="1"/>
  <c r="Q9" i="67"/>
  <c r="N10" i="66"/>
  <c r="Y9" i="66" s="1"/>
  <c r="BB11" i="65"/>
  <c r="BA11" i="65"/>
  <c r="N11" i="65" s="1"/>
  <c r="CR12" i="65"/>
  <c r="BT12" i="65"/>
  <c r="BL12" i="65"/>
  <c r="AV12" i="65"/>
  <c r="AN12" i="65"/>
  <c r="BS12" i="65"/>
  <c r="AU12" i="65"/>
  <c r="AM12" i="65"/>
  <c r="CP12" i="65"/>
  <c r="BZ12" i="65"/>
  <c r="BR12" i="65"/>
  <c r="BJ12" i="65"/>
  <c r="AT12" i="65"/>
  <c r="AL12" i="65"/>
  <c r="CW12" i="65"/>
  <c r="CO12" i="65"/>
  <c r="BY12" i="65"/>
  <c r="BQ12" i="65"/>
  <c r="BI12" i="65"/>
  <c r="AS12" i="65"/>
  <c r="AK12" i="65"/>
  <c r="D12" i="65"/>
  <c r="P6" i="23" s="1"/>
  <c r="T6" i="24" s="1"/>
  <c r="CV12" i="65"/>
  <c r="CN12" i="65"/>
  <c r="CF12" i="65"/>
  <c r="BX12" i="65"/>
  <c r="BP12" i="65"/>
  <c r="BH12" i="65"/>
  <c r="AZ12" i="65"/>
  <c r="AR12" i="65"/>
  <c r="AJ12" i="65"/>
  <c r="CU12" i="65"/>
  <c r="CE12" i="65"/>
  <c r="BW12" i="65"/>
  <c r="BO12" i="65"/>
  <c r="BG12" i="65"/>
  <c r="AY12" i="65"/>
  <c r="AQ12" i="65"/>
  <c r="AI12" i="65"/>
  <c r="CT12" i="65"/>
  <c r="CD12" i="65"/>
  <c r="BV12" i="65"/>
  <c r="BN12" i="65"/>
  <c r="AX12" i="65"/>
  <c r="AP12" i="65"/>
  <c r="AH12" i="65"/>
  <c r="CS12" i="65"/>
  <c r="BU12" i="65"/>
  <c r="BM12" i="65"/>
  <c r="AW12" i="65"/>
  <c r="AO12" i="65"/>
  <c r="AG12" i="65"/>
  <c r="A14" i="65"/>
  <c r="M8" i="23" s="1"/>
  <c r="P8" i="24" s="1"/>
  <c r="B13" i="65"/>
  <c r="N7" i="23" s="1"/>
  <c r="Q7" i="24" s="1"/>
  <c r="BB11" i="64"/>
  <c r="BA11" i="64"/>
  <c r="N11" i="64" s="1"/>
  <c r="CS12" i="64"/>
  <c r="BU12" i="64"/>
  <c r="BM12" i="64"/>
  <c r="AW12" i="64"/>
  <c r="AO12" i="64"/>
  <c r="AG12" i="64"/>
  <c r="CR12" i="64"/>
  <c r="BT12" i="64"/>
  <c r="BL12" i="64"/>
  <c r="AV12" i="64"/>
  <c r="AN12" i="64"/>
  <c r="CU12" i="64"/>
  <c r="BQ12" i="64"/>
  <c r="BG12" i="64"/>
  <c r="AY12" i="64"/>
  <c r="AM12" i="64"/>
  <c r="CT12" i="64"/>
  <c r="CH12" i="64"/>
  <c r="BZ12" i="64"/>
  <c r="BP12" i="64"/>
  <c r="AX12" i="64"/>
  <c r="AL12" i="64"/>
  <c r="BY12" i="64"/>
  <c r="BO12" i="64"/>
  <c r="AU12" i="64"/>
  <c r="AK12" i="64"/>
  <c r="CP12" i="64"/>
  <c r="BX12" i="64"/>
  <c r="BN12" i="64"/>
  <c r="AT12" i="64"/>
  <c r="AJ12" i="64"/>
  <c r="CO12" i="64"/>
  <c r="BW12" i="64"/>
  <c r="BK12" i="64"/>
  <c r="AS12" i="64"/>
  <c r="AI12" i="64"/>
  <c r="CN12" i="64"/>
  <c r="CD12" i="64"/>
  <c r="BV12" i="64"/>
  <c r="BJ12" i="64"/>
  <c r="AR12" i="64"/>
  <c r="AH12" i="64"/>
  <c r="CW12" i="64"/>
  <c r="BS12" i="64"/>
  <c r="BI12" i="64"/>
  <c r="AQ12" i="64"/>
  <c r="CV12" i="64"/>
  <c r="BR12" i="64"/>
  <c r="AZ12" i="64"/>
  <c r="AP12" i="64"/>
  <c r="D12" i="64"/>
  <c r="L6" i="23" s="1"/>
  <c r="O6" i="24" s="1"/>
  <c r="B13" i="64"/>
  <c r="J7" i="23" s="1"/>
  <c r="L7" i="24" s="1"/>
  <c r="A14" i="64"/>
  <c r="I8" i="23" s="1"/>
  <c r="K8" i="24" s="1"/>
  <c r="Q9" i="64"/>
  <c r="B13" i="63"/>
  <c r="F7" i="23" s="1"/>
  <c r="G7" i="24" s="1"/>
  <c r="A14" i="63"/>
  <c r="E8" i="23" s="1"/>
  <c r="F8" i="24" s="1"/>
  <c r="CV12" i="63"/>
  <c r="CN12" i="63"/>
  <c r="CF12" i="63"/>
  <c r="BX12" i="63"/>
  <c r="BP12" i="63"/>
  <c r="BH12" i="63"/>
  <c r="AZ12" i="63"/>
  <c r="AR12" i="63"/>
  <c r="AJ12" i="63"/>
  <c r="CU12" i="63"/>
  <c r="CE12" i="63"/>
  <c r="BW12" i="63"/>
  <c r="BO12" i="63"/>
  <c r="BG12" i="63"/>
  <c r="AY12" i="63"/>
  <c r="AQ12" i="63"/>
  <c r="AI12" i="63"/>
  <c r="CT12" i="63"/>
  <c r="BV12" i="63"/>
  <c r="BN12" i="63"/>
  <c r="AX12" i="63"/>
  <c r="AP12" i="63"/>
  <c r="AH12" i="63"/>
  <c r="BM12" i="63"/>
  <c r="AW12" i="63"/>
  <c r="AO12" i="63"/>
  <c r="AG12" i="63"/>
  <c r="CS12" i="63"/>
  <c r="BU12" i="63"/>
  <c r="CR12" i="63"/>
  <c r="BT12" i="63"/>
  <c r="BL12" i="63"/>
  <c r="AV12" i="63"/>
  <c r="AN12" i="63"/>
  <c r="BS12" i="63"/>
  <c r="BK12" i="63"/>
  <c r="AU12" i="63"/>
  <c r="AM12" i="63"/>
  <c r="CP12" i="63"/>
  <c r="CH12" i="63"/>
  <c r="BZ12" i="63"/>
  <c r="BR12" i="63"/>
  <c r="BJ12" i="63"/>
  <c r="AT12" i="63"/>
  <c r="CW12" i="63"/>
  <c r="CO12" i="63"/>
  <c r="BY12" i="63"/>
  <c r="BQ12" i="63"/>
  <c r="BI12" i="63"/>
  <c r="AL12" i="63"/>
  <c r="AK12" i="63"/>
  <c r="AS12" i="63"/>
  <c r="D12" i="63"/>
  <c r="H6" i="23" s="1"/>
  <c r="J6" i="24" s="1"/>
  <c r="CA11" i="63"/>
  <c r="BB11" i="63"/>
  <c r="BA11" i="63"/>
  <c r="M34" i="24" l="1"/>
  <c r="AH6" i="23"/>
  <c r="L6" i="25" s="1"/>
  <c r="CJ12" i="70"/>
  <c r="BH12" i="70"/>
  <c r="BG12" i="70"/>
  <c r="BQ12" i="70"/>
  <c r="CS12" i="70"/>
  <c r="BL12" i="70"/>
  <c r="BJ12" i="70"/>
  <c r="D12" i="70"/>
  <c r="CK12" i="70"/>
  <c r="AZ12" i="70"/>
  <c r="AY12" i="70"/>
  <c r="AU12" i="70"/>
  <c r="BY12" i="70"/>
  <c r="AP12" i="70"/>
  <c r="AX12" i="70"/>
  <c r="CL12" i="70"/>
  <c r="AR12" i="70"/>
  <c r="AQ12" i="70"/>
  <c r="AK12" i="70"/>
  <c r="BM12" i="70"/>
  <c r="BU12" i="70"/>
  <c r="AN12" i="70"/>
  <c r="CM12" i="70"/>
  <c r="CV12" i="70"/>
  <c r="AJ12" i="70"/>
  <c r="AI12" i="70"/>
  <c r="CT12" i="70"/>
  <c r="AS12" i="70"/>
  <c r="BK12" i="70"/>
  <c r="CO12" i="70"/>
  <c r="CN12" i="70"/>
  <c r="CU12" i="70"/>
  <c r="BR12" i="70"/>
  <c r="BZ12" i="70"/>
  <c r="AG12" i="70"/>
  <c r="AO12" i="70"/>
  <c r="BS12" i="70"/>
  <c r="CF12" i="70"/>
  <c r="CE12" i="70"/>
  <c r="AV12" i="70"/>
  <c r="BN12" i="70"/>
  <c r="CR12" i="70"/>
  <c r="CP12" i="70"/>
  <c r="BI12" i="70"/>
  <c r="AW12" i="70"/>
  <c r="BX12" i="70"/>
  <c r="BW12" i="70"/>
  <c r="AL12" i="70"/>
  <c r="AT12" i="70"/>
  <c r="CH12" i="70"/>
  <c r="CD12" i="70"/>
  <c r="CI12" i="70"/>
  <c r="BP12" i="70"/>
  <c r="BO12" i="70"/>
  <c r="CW12" i="70"/>
  <c r="AH12" i="70"/>
  <c r="BV12" i="70"/>
  <c r="BT12" i="70"/>
  <c r="AM12" i="70"/>
  <c r="AG7" i="23"/>
  <c r="K7" i="25" s="1"/>
  <c r="A14" i="70"/>
  <c r="B13" i="70"/>
  <c r="U7" i="23"/>
  <c r="Z7" i="24" s="1"/>
  <c r="A14" i="67"/>
  <c r="B13" i="67"/>
  <c r="AN6" i="23"/>
  <c r="T6" i="25"/>
  <c r="V6" i="23"/>
  <c r="AA6" i="24" s="1"/>
  <c r="CI12" i="67"/>
  <c r="CN12" i="67"/>
  <c r="CE12" i="67"/>
  <c r="CH12" i="67"/>
  <c r="CD12" i="67"/>
  <c r="BR12" i="67"/>
  <c r="AH12" i="67"/>
  <c r="BQ12" i="67"/>
  <c r="AT12" i="67"/>
  <c r="CK12" i="67"/>
  <c r="BX12" i="67"/>
  <c r="BW12" i="67"/>
  <c r="BV12" i="67"/>
  <c r="BT12" i="67"/>
  <c r="AV12" i="67"/>
  <c r="CT12" i="67"/>
  <c r="AP12" i="67"/>
  <c r="CU12" i="67"/>
  <c r="CS12" i="67"/>
  <c r="CQ12" i="67"/>
  <c r="BP12" i="67"/>
  <c r="BO12" i="67"/>
  <c r="BL12" i="67"/>
  <c r="BJ12" i="67"/>
  <c r="AL12" i="67"/>
  <c r="BY12" i="67"/>
  <c r="BH12" i="67"/>
  <c r="AX12" i="67"/>
  <c r="BM12" i="67"/>
  <c r="CJ12" i="67"/>
  <c r="BG12" i="67"/>
  <c r="CV12" i="67"/>
  <c r="AO12" i="67"/>
  <c r="CM12" i="67"/>
  <c r="AZ12" i="67"/>
  <c r="AY12" i="67"/>
  <c r="CR12" i="67"/>
  <c r="AN12" i="67"/>
  <c r="AU12" i="67"/>
  <c r="AS12" i="67"/>
  <c r="CW12" i="67"/>
  <c r="AR12" i="67"/>
  <c r="AQ12" i="67"/>
  <c r="BU12" i="67"/>
  <c r="AW12" i="67"/>
  <c r="AK12" i="67"/>
  <c r="AG12" i="67"/>
  <c r="CO12" i="67"/>
  <c r="AJ12" i="67"/>
  <c r="AI12" i="67"/>
  <c r="BK12" i="67"/>
  <c r="AM12" i="67"/>
  <c r="BZ12" i="67"/>
  <c r="D12" i="67"/>
  <c r="X6" i="23" s="1"/>
  <c r="AD6" i="24" s="1"/>
  <c r="AV6" i="23"/>
  <c r="AD6" i="25"/>
  <c r="AR5" i="23"/>
  <c r="Y5" i="25"/>
  <c r="CX11" i="67"/>
  <c r="P11" i="67" s="1"/>
  <c r="J6" i="25"/>
  <c r="AF6" i="23"/>
  <c r="AV5" i="23"/>
  <c r="AD5" i="25"/>
  <c r="CA11" i="67"/>
  <c r="O11" i="67" s="1"/>
  <c r="BA11" i="67"/>
  <c r="N11" i="67" s="1"/>
  <c r="BB11" i="67"/>
  <c r="CA11" i="66"/>
  <c r="O11" i="66" s="1"/>
  <c r="BB11" i="66"/>
  <c r="BA11" i="66"/>
  <c r="N11" i="66" s="1"/>
  <c r="R6" i="23"/>
  <c r="V6" i="24" s="1"/>
  <c r="CH12" i="66"/>
  <c r="BU12" i="66"/>
  <c r="AO12" i="66"/>
  <c r="BP12" i="66"/>
  <c r="CT12" i="66"/>
  <c r="AR12" i="66"/>
  <c r="CK12" i="66"/>
  <c r="BZ12" i="66"/>
  <c r="BI12" i="66"/>
  <c r="D12" i="66"/>
  <c r="T6" i="23" s="1"/>
  <c r="Y6" i="24" s="1"/>
  <c r="AW12" i="66"/>
  <c r="BX12" i="66"/>
  <c r="AH12" i="66"/>
  <c r="CL12" i="66"/>
  <c r="BR12" i="66"/>
  <c r="AZ12" i="66"/>
  <c r="CW12" i="66"/>
  <c r="AK12" i="66"/>
  <c r="BN12" i="66"/>
  <c r="CR12" i="66"/>
  <c r="CQ12" i="66"/>
  <c r="BS12" i="66"/>
  <c r="BJ12" i="66"/>
  <c r="AP12" i="66"/>
  <c r="BQ12" i="66"/>
  <c r="CU12" i="66"/>
  <c r="AS12" i="66"/>
  <c r="CF12" i="66"/>
  <c r="BV12" i="66"/>
  <c r="CM12" i="66"/>
  <c r="BK12" i="66"/>
  <c r="AT12" i="66"/>
  <c r="CN12" i="66"/>
  <c r="BG12" i="66"/>
  <c r="BY12" i="66"/>
  <c r="AI12" i="66"/>
  <c r="CJ12" i="66"/>
  <c r="AU12" i="66"/>
  <c r="AL12" i="66"/>
  <c r="BT12" i="66"/>
  <c r="AX12" i="66"/>
  <c r="BO12" i="66"/>
  <c r="CS12" i="66"/>
  <c r="BL12" i="66"/>
  <c r="CG12" i="66"/>
  <c r="AM12" i="66"/>
  <c r="CO12" i="66"/>
  <c r="BH12" i="66"/>
  <c r="AN12" i="66"/>
  <c r="AV12" i="66"/>
  <c r="BW12" i="66"/>
  <c r="AQ12" i="66"/>
  <c r="CP12" i="66"/>
  <c r="CE12" i="66"/>
  <c r="AY12" i="66"/>
  <c r="CV12" i="66"/>
  <c r="AJ12" i="66"/>
  <c r="BM12" i="66"/>
  <c r="AG12" i="66"/>
  <c r="Q7" i="23"/>
  <c r="U7" i="24" s="1"/>
  <c r="A14" i="66"/>
  <c r="B13" i="66"/>
  <c r="V46" i="66"/>
  <c r="V53" i="66" s="1"/>
  <c r="V45" i="67" s="1"/>
  <c r="BB11" i="73"/>
  <c r="D34" i="74"/>
  <c r="CA11" i="73"/>
  <c r="O11" i="73" s="1"/>
  <c r="CI13" i="71"/>
  <c r="CM13" i="71"/>
  <c r="CQ13" i="71"/>
  <c r="CJ13" i="71"/>
  <c r="CK13" i="71"/>
  <c r="CL13" i="71"/>
  <c r="CG13" i="71"/>
  <c r="CI13" i="69"/>
  <c r="CG13" i="69"/>
  <c r="CQ13" i="69"/>
  <c r="CJ13" i="69"/>
  <c r="CK13" i="69"/>
  <c r="CL13" i="69"/>
  <c r="CM13" i="69"/>
  <c r="CQ12" i="72"/>
  <c r="CI12" i="72"/>
  <c r="CJ12" i="72"/>
  <c r="CK12" i="72"/>
  <c r="CL12" i="72"/>
  <c r="CG12" i="72"/>
  <c r="CM12" i="72"/>
  <c r="CK13" i="73"/>
  <c r="CL13" i="73"/>
  <c r="CM13" i="73"/>
  <c r="CG13" i="73"/>
  <c r="CI13" i="73"/>
  <c r="CQ13" i="73"/>
  <c r="CJ13" i="73"/>
  <c r="CK13" i="68"/>
  <c r="CL13" i="68"/>
  <c r="CM13" i="68"/>
  <c r="CG13" i="68"/>
  <c r="CQ13" i="68"/>
  <c r="CJ13" i="68"/>
  <c r="CI13" i="65"/>
  <c r="CG13" i="65"/>
  <c r="CJ13" i="65"/>
  <c r="CQ13" i="65"/>
  <c r="CK13" i="65"/>
  <c r="CL13" i="65"/>
  <c r="CM13" i="65"/>
  <c r="CI13" i="64"/>
  <c r="CJ13" i="64"/>
  <c r="CK13" i="64"/>
  <c r="CL13" i="64"/>
  <c r="CM13" i="64"/>
  <c r="CQ13" i="64"/>
  <c r="CI13" i="63"/>
  <c r="CJ13" i="63"/>
  <c r="CK13" i="63"/>
  <c r="CL13" i="63"/>
  <c r="CM13" i="63"/>
  <c r="CG13" i="63"/>
  <c r="CQ13" i="63"/>
  <c r="BA11" i="73"/>
  <c r="N11" i="73" s="1"/>
  <c r="CX11" i="73"/>
  <c r="P11" i="73" s="1"/>
  <c r="Q10" i="67"/>
  <c r="F35" i="50"/>
  <c r="F36" i="50" s="1"/>
  <c r="CX12" i="73"/>
  <c r="P12" i="73" s="1"/>
  <c r="CX12" i="68"/>
  <c r="P12" i="68" s="1"/>
  <c r="BB12" i="73"/>
  <c r="BA12" i="73"/>
  <c r="N12" i="73" s="1"/>
  <c r="CA12" i="73"/>
  <c r="CS13" i="73"/>
  <c r="BU13" i="73"/>
  <c r="BM13" i="73"/>
  <c r="AW13" i="73"/>
  <c r="AO13" i="73"/>
  <c r="AG13" i="73"/>
  <c r="CR13" i="73"/>
  <c r="BT13" i="73"/>
  <c r="BL13" i="73"/>
  <c r="AV13" i="73"/>
  <c r="AN13" i="73"/>
  <c r="BS13" i="73"/>
  <c r="BK13" i="73"/>
  <c r="AU13" i="73"/>
  <c r="AM13" i="73"/>
  <c r="CP13" i="73"/>
  <c r="CH13" i="73"/>
  <c r="BZ13" i="73"/>
  <c r="BR13" i="73"/>
  <c r="BJ13" i="73"/>
  <c r="AT13" i="73"/>
  <c r="AL13" i="73"/>
  <c r="BX13" i="73"/>
  <c r="BH13" i="73"/>
  <c r="AY13" i="73"/>
  <c r="AI13" i="73"/>
  <c r="CW13" i="73"/>
  <c r="BW13" i="73"/>
  <c r="BG13" i="73"/>
  <c r="AX13" i="73"/>
  <c r="AH13" i="73"/>
  <c r="D13" i="73"/>
  <c r="CV13" i="73"/>
  <c r="CF13" i="73"/>
  <c r="BV13" i="73"/>
  <c r="AS13" i="73"/>
  <c r="CU13" i="73"/>
  <c r="CE13" i="73"/>
  <c r="BQ13" i="73"/>
  <c r="AR13" i="73"/>
  <c r="CT13" i="73"/>
  <c r="CD13" i="73"/>
  <c r="BP13" i="73"/>
  <c r="AQ13" i="73"/>
  <c r="CO13" i="73"/>
  <c r="BO13" i="73"/>
  <c r="AP13" i="73"/>
  <c r="CN13" i="73"/>
  <c r="BN13" i="73"/>
  <c r="AK13" i="73"/>
  <c r="BY13" i="73"/>
  <c r="BI13" i="73"/>
  <c r="AZ13" i="73"/>
  <c r="AJ13" i="73"/>
  <c r="B14" i="73"/>
  <c r="AT8" i="23" s="1"/>
  <c r="AA8" i="25" s="1"/>
  <c r="A15" i="73"/>
  <c r="AS9" i="23" s="1"/>
  <c r="Z9" i="25" s="1"/>
  <c r="N10" i="72"/>
  <c r="CA11" i="72"/>
  <c r="O11" i="72" s="1"/>
  <c r="A14" i="72"/>
  <c r="AO8" i="23" s="1"/>
  <c r="U8" i="25" s="1"/>
  <c r="B13" i="72"/>
  <c r="AP7" i="23" s="1"/>
  <c r="V7" i="25" s="1"/>
  <c r="BS12" i="72"/>
  <c r="BK12" i="72"/>
  <c r="AU12" i="72"/>
  <c r="AM12" i="72"/>
  <c r="CP12" i="72"/>
  <c r="CH12" i="72"/>
  <c r="BZ12" i="72"/>
  <c r="BR12" i="72"/>
  <c r="BJ12" i="72"/>
  <c r="AT12" i="72"/>
  <c r="AL12" i="72"/>
  <c r="CW12" i="72"/>
  <c r="CO12" i="72"/>
  <c r="BY12" i="72"/>
  <c r="BQ12" i="72"/>
  <c r="BI12" i="72"/>
  <c r="AS12" i="72"/>
  <c r="AK12" i="72"/>
  <c r="D12" i="72"/>
  <c r="CV12" i="72"/>
  <c r="CN12" i="72"/>
  <c r="CF12" i="72"/>
  <c r="BX12" i="72"/>
  <c r="BP12" i="72"/>
  <c r="BH12" i="72"/>
  <c r="AZ12" i="72"/>
  <c r="AR12" i="72"/>
  <c r="AJ12" i="72"/>
  <c r="CU12" i="72"/>
  <c r="BW12" i="72"/>
  <c r="BO12" i="72"/>
  <c r="BG12" i="72"/>
  <c r="AY12" i="72"/>
  <c r="AQ12" i="72"/>
  <c r="AI12" i="72"/>
  <c r="CD12" i="72"/>
  <c r="BV12" i="72"/>
  <c r="BN12" i="72"/>
  <c r="AX12" i="72"/>
  <c r="AP12" i="72"/>
  <c r="AH12" i="72"/>
  <c r="CS12" i="72"/>
  <c r="BU12" i="72"/>
  <c r="BM12" i="72"/>
  <c r="AW12" i="72"/>
  <c r="AO12" i="72"/>
  <c r="AG12" i="72"/>
  <c r="CR12" i="72"/>
  <c r="BT12" i="72"/>
  <c r="BL12" i="72"/>
  <c r="AV12" i="72"/>
  <c r="AN12" i="72"/>
  <c r="BB11" i="72"/>
  <c r="BA11" i="72"/>
  <c r="N11" i="72" s="1"/>
  <c r="BB12" i="71"/>
  <c r="BA12" i="71"/>
  <c r="N12" i="71" s="1"/>
  <c r="N11" i="71"/>
  <c r="A15" i="71"/>
  <c r="AK9" i="23" s="1"/>
  <c r="P9" i="25" s="1"/>
  <c r="B14" i="71"/>
  <c r="AL8" i="23" s="1"/>
  <c r="Q8" i="25" s="1"/>
  <c r="CP13" i="71"/>
  <c r="CH13" i="71"/>
  <c r="BZ13" i="71"/>
  <c r="BR13" i="71"/>
  <c r="BJ13" i="71"/>
  <c r="AT13" i="71"/>
  <c r="AL13" i="71"/>
  <c r="CW13" i="71"/>
  <c r="CO13" i="71"/>
  <c r="BY13" i="71"/>
  <c r="BQ13" i="71"/>
  <c r="BI13" i="71"/>
  <c r="AS13" i="71"/>
  <c r="AK13" i="71"/>
  <c r="D13" i="71"/>
  <c r="CV13" i="71"/>
  <c r="CN13" i="71"/>
  <c r="CF13" i="71"/>
  <c r="BX13" i="71"/>
  <c r="BP13" i="71"/>
  <c r="BH13" i="71"/>
  <c r="AZ13" i="71"/>
  <c r="AR13" i="71"/>
  <c r="AJ13" i="71"/>
  <c r="CU13" i="71"/>
  <c r="CE13" i="71"/>
  <c r="BW13" i="71"/>
  <c r="BO13" i="71"/>
  <c r="BG13" i="71"/>
  <c r="AY13" i="71"/>
  <c r="AQ13" i="71"/>
  <c r="AI13" i="71"/>
  <c r="CT13" i="71"/>
  <c r="CD13" i="71"/>
  <c r="BV13" i="71"/>
  <c r="BN13" i="71"/>
  <c r="AX13" i="71"/>
  <c r="CS13" i="71"/>
  <c r="BU13" i="71"/>
  <c r="BM13" i="71"/>
  <c r="AW13" i="71"/>
  <c r="CR13" i="71"/>
  <c r="BT13" i="71"/>
  <c r="BL13" i="71"/>
  <c r="AV13" i="71"/>
  <c r="AN13" i="71"/>
  <c r="BK13" i="71"/>
  <c r="AM13" i="71"/>
  <c r="AH13" i="71"/>
  <c r="AG13" i="71"/>
  <c r="AU13" i="71"/>
  <c r="AP13" i="71"/>
  <c r="BS13" i="71"/>
  <c r="AO13" i="71"/>
  <c r="CA12" i="69"/>
  <c r="O12" i="69" s="1"/>
  <c r="B14" i="69"/>
  <c r="AD8" i="23" s="1"/>
  <c r="G8" i="25" s="1"/>
  <c r="A15" i="69"/>
  <c r="AC9" i="23" s="1"/>
  <c r="F9" i="25" s="1"/>
  <c r="BB12" i="69"/>
  <c r="BA12" i="69"/>
  <c r="N12" i="69" s="1"/>
  <c r="CS13" i="69"/>
  <c r="BU13" i="69"/>
  <c r="BM13" i="69"/>
  <c r="AW13" i="69"/>
  <c r="AO13" i="69"/>
  <c r="AG13" i="69"/>
  <c r="CR13" i="69"/>
  <c r="BT13" i="69"/>
  <c r="BL13" i="69"/>
  <c r="AV13" i="69"/>
  <c r="AN13" i="69"/>
  <c r="BS13" i="69"/>
  <c r="BK13" i="69"/>
  <c r="AU13" i="69"/>
  <c r="AM13" i="69"/>
  <c r="CP13" i="69"/>
  <c r="CH13" i="69"/>
  <c r="BZ13" i="69"/>
  <c r="BR13" i="69"/>
  <c r="BJ13" i="69"/>
  <c r="AT13" i="69"/>
  <c r="AL13" i="69"/>
  <c r="CW13" i="69"/>
  <c r="BY13" i="69"/>
  <c r="BQ13" i="69"/>
  <c r="BI13" i="69"/>
  <c r="AS13" i="69"/>
  <c r="AK13" i="69"/>
  <c r="D13" i="69"/>
  <c r="CV13" i="69"/>
  <c r="CN13" i="69"/>
  <c r="CF13" i="69"/>
  <c r="BX13" i="69"/>
  <c r="BP13" i="69"/>
  <c r="BH13" i="69"/>
  <c r="AZ13" i="69"/>
  <c r="AR13" i="69"/>
  <c r="AJ13" i="69"/>
  <c r="CU13" i="69"/>
  <c r="BW13" i="69"/>
  <c r="BO13" i="69"/>
  <c r="BG13" i="69"/>
  <c r="AY13" i="69"/>
  <c r="AQ13" i="69"/>
  <c r="AI13" i="69"/>
  <c r="CD13" i="69"/>
  <c r="AX13" i="69"/>
  <c r="AP13" i="69"/>
  <c r="BV13" i="69"/>
  <c r="AH13" i="69"/>
  <c r="BN13" i="69"/>
  <c r="CT13" i="69"/>
  <c r="B14" i="68"/>
  <c r="Z8" i="23" s="1"/>
  <c r="B8" i="25" s="1"/>
  <c r="A15" i="68"/>
  <c r="Y9" i="23" s="1"/>
  <c r="A9" i="25" s="1"/>
  <c r="CA12" i="68"/>
  <c r="O12" i="68" s="1"/>
  <c r="CU13" i="68"/>
  <c r="CE13" i="68"/>
  <c r="BW13" i="68"/>
  <c r="BO13" i="68"/>
  <c r="BG13" i="68"/>
  <c r="AY13" i="68"/>
  <c r="AQ13" i="68"/>
  <c r="AI13" i="68"/>
  <c r="CT13" i="68"/>
  <c r="BV13" i="68"/>
  <c r="BN13" i="68"/>
  <c r="AX13" i="68"/>
  <c r="AP13" i="68"/>
  <c r="AH13" i="68"/>
  <c r="CO13" i="68"/>
  <c r="BS13" i="68"/>
  <c r="BI13" i="68"/>
  <c r="AZ13" i="68"/>
  <c r="AN13" i="68"/>
  <c r="CN13" i="68"/>
  <c r="BR13" i="68"/>
  <c r="BH13" i="68"/>
  <c r="AW13" i="68"/>
  <c r="AM13" i="68"/>
  <c r="D13" i="68"/>
  <c r="AB7" i="23" s="1"/>
  <c r="E7" i="25" s="1"/>
  <c r="CR13" i="68"/>
  <c r="CF13" i="68"/>
  <c r="BT13" i="68"/>
  <c r="AS13" i="68"/>
  <c r="BQ13" i="68"/>
  <c r="AR13" i="68"/>
  <c r="CP13" i="68"/>
  <c r="BP13" i="68"/>
  <c r="AO13" i="68"/>
  <c r="BM13" i="68"/>
  <c r="AL13" i="68"/>
  <c r="BZ13" i="68"/>
  <c r="BL13" i="68"/>
  <c r="AK13" i="68"/>
  <c r="CW13" i="68"/>
  <c r="BY13" i="68"/>
  <c r="BK13" i="68"/>
  <c r="AV13" i="68"/>
  <c r="AJ13" i="68"/>
  <c r="CV13" i="68"/>
  <c r="CH13" i="68"/>
  <c r="BX13" i="68"/>
  <c r="BJ13" i="68"/>
  <c r="AU13" i="68"/>
  <c r="AG13" i="68"/>
  <c r="CS13" i="68"/>
  <c r="BU13" i="68"/>
  <c r="AT13" i="68"/>
  <c r="BB12" i="68"/>
  <c r="BA12" i="68"/>
  <c r="N12" i="68" s="1"/>
  <c r="Y12" i="68" s="1"/>
  <c r="CU13" i="65"/>
  <c r="CE13" i="65"/>
  <c r="BW13" i="65"/>
  <c r="BO13" i="65"/>
  <c r="BG13" i="65"/>
  <c r="AY13" i="65"/>
  <c r="AQ13" i="65"/>
  <c r="AI13" i="65"/>
  <c r="CT13" i="65"/>
  <c r="CD13" i="65"/>
  <c r="BV13" i="65"/>
  <c r="BN13" i="65"/>
  <c r="AX13" i="65"/>
  <c r="AP13" i="65"/>
  <c r="AH13" i="65"/>
  <c r="CS13" i="65"/>
  <c r="BU13" i="65"/>
  <c r="BM13" i="65"/>
  <c r="AW13" i="65"/>
  <c r="AO13" i="65"/>
  <c r="AG13" i="65"/>
  <c r="CR13" i="65"/>
  <c r="BT13" i="65"/>
  <c r="BL13" i="65"/>
  <c r="AV13" i="65"/>
  <c r="AN13" i="65"/>
  <c r="BS13" i="65"/>
  <c r="BK13" i="65"/>
  <c r="AU13" i="65"/>
  <c r="AM13" i="65"/>
  <c r="CP13" i="65"/>
  <c r="CH13" i="65"/>
  <c r="BZ13" i="65"/>
  <c r="BR13" i="65"/>
  <c r="BJ13" i="65"/>
  <c r="AT13" i="65"/>
  <c r="AL13" i="65"/>
  <c r="CW13" i="65"/>
  <c r="CO13" i="65"/>
  <c r="BY13" i="65"/>
  <c r="BQ13" i="65"/>
  <c r="BI13" i="65"/>
  <c r="AS13" i="65"/>
  <c r="AK13" i="65"/>
  <c r="D13" i="65"/>
  <c r="P7" i="23" s="1"/>
  <c r="T7" i="24" s="1"/>
  <c r="CV13" i="65"/>
  <c r="CN13" i="65"/>
  <c r="CF13" i="65"/>
  <c r="BX13" i="65"/>
  <c r="BP13" i="65"/>
  <c r="BH13" i="65"/>
  <c r="AZ13" i="65"/>
  <c r="AR13" i="65"/>
  <c r="AJ13" i="65"/>
  <c r="B14" i="65"/>
  <c r="N8" i="23" s="1"/>
  <c r="Q8" i="24" s="1"/>
  <c r="A15" i="65"/>
  <c r="M9" i="23" s="1"/>
  <c r="P9" i="24" s="1"/>
  <c r="BB12" i="65"/>
  <c r="BA12" i="65"/>
  <c r="BB12" i="64"/>
  <c r="BA12" i="64"/>
  <c r="B14" i="64"/>
  <c r="J8" i="23" s="1"/>
  <c r="L8" i="24" s="1"/>
  <c r="A15" i="64"/>
  <c r="I9" i="23" s="1"/>
  <c r="K9" i="24" s="1"/>
  <c r="CV13" i="64"/>
  <c r="CN13" i="64"/>
  <c r="BX13" i="64"/>
  <c r="BP13" i="64"/>
  <c r="BH13" i="64"/>
  <c r="AZ13" i="64"/>
  <c r="AR13" i="64"/>
  <c r="AJ13" i="64"/>
  <c r="CU13" i="64"/>
  <c r="CE13" i="64"/>
  <c r="BW13" i="64"/>
  <c r="BO13" i="64"/>
  <c r="BG13" i="64"/>
  <c r="AY13" i="64"/>
  <c r="AQ13" i="64"/>
  <c r="AI13" i="64"/>
  <c r="CR13" i="64"/>
  <c r="CH13" i="64"/>
  <c r="BV13" i="64"/>
  <c r="BL13" i="64"/>
  <c r="AP13" i="64"/>
  <c r="BU13" i="64"/>
  <c r="BK13" i="64"/>
  <c r="AO13" i="64"/>
  <c r="CP13" i="64"/>
  <c r="CD13" i="64"/>
  <c r="BT13" i="64"/>
  <c r="BJ13" i="64"/>
  <c r="AX13" i="64"/>
  <c r="AN13" i="64"/>
  <c r="CO13" i="64"/>
  <c r="BS13" i="64"/>
  <c r="AW13" i="64"/>
  <c r="AM13" i="64"/>
  <c r="D13" i="64"/>
  <c r="L7" i="23" s="1"/>
  <c r="O7" i="24" s="1"/>
  <c r="BR13" i="64"/>
  <c r="AV13" i="64"/>
  <c r="AL13" i="64"/>
  <c r="CW13" i="64"/>
  <c r="BQ13" i="64"/>
  <c r="AU13" i="64"/>
  <c r="AK13" i="64"/>
  <c r="CT13" i="64"/>
  <c r="BZ13" i="64"/>
  <c r="BN13" i="64"/>
  <c r="AT13" i="64"/>
  <c r="AH13" i="64"/>
  <c r="CS13" i="64"/>
  <c r="BY13" i="64"/>
  <c r="BM13" i="64"/>
  <c r="AS13" i="64"/>
  <c r="AG13" i="64"/>
  <c r="O11" i="63"/>
  <c r="CA12" i="63"/>
  <c r="O12" i="63" s="1"/>
  <c r="A15" i="63"/>
  <c r="E9" i="23" s="1"/>
  <c r="F9" i="24" s="1"/>
  <c r="B14" i="63"/>
  <c r="F8" i="23" s="1"/>
  <c r="G8" i="24" s="1"/>
  <c r="BB12" i="63"/>
  <c r="BA12" i="63"/>
  <c r="N12" i="63" s="1"/>
  <c r="BS13" i="63"/>
  <c r="BK13" i="63"/>
  <c r="AU13" i="63"/>
  <c r="AM13" i="63"/>
  <c r="CP13" i="63"/>
  <c r="CH13" i="63"/>
  <c r="BZ13" i="63"/>
  <c r="BR13" i="63"/>
  <c r="BJ13" i="63"/>
  <c r="AT13" i="63"/>
  <c r="AL13" i="63"/>
  <c r="CW13" i="63"/>
  <c r="CO13" i="63"/>
  <c r="BY13" i="63"/>
  <c r="BQ13" i="63"/>
  <c r="BI13" i="63"/>
  <c r="AS13" i="63"/>
  <c r="AK13" i="63"/>
  <c r="D13" i="63"/>
  <c r="H7" i="23" s="1"/>
  <c r="J7" i="24" s="1"/>
  <c r="CV13" i="63"/>
  <c r="CN13" i="63"/>
  <c r="CF13" i="63"/>
  <c r="BX13" i="63"/>
  <c r="BP13" i="63"/>
  <c r="BH13" i="63"/>
  <c r="AZ13" i="63"/>
  <c r="AR13" i="63"/>
  <c r="AJ13" i="63"/>
  <c r="CU13" i="63"/>
  <c r="BW13" i="63"/>
  <c r="BO13" i="63"/>
  <c r="AY13" i="63"/>
  <c r="AQ13" i="63"/>
  <c r="AI13" i="63"/>
  <c r="CT13" i="63"/>
  <c r="BV13" i="63"/>
  <c r="BN13" i="63"/>
  <c r="AX13" i="63"/>
  <c r="AP13" i="63"/>
  <c r="AH13" i="63"/>
  <c r="CS13" i="63"/>
  <c r="BU13" i="63"/>
  <c r="BM13" i="63"/>
  <c r="AW13" i="63"/>
  <c r="AO13" i="63"/>
  <c r="AG13" i="63"/>
  <c r="CR13" i="63"/>
  <c r="BT13" i="63"/>
  <c r="BL13" i="63"/>
  <c r="AV13" i="63"/>
  <c r="AN13" i="63"/>
  <c r="N11" i="63"/>
  <c r="Y11" i="63" s="1"/>
  <c r="AH7" i="23" l="1"/>
  <c r="L7" i="25" s="1"/>
  <c r="CG13" i="70"/>
  <c r="BR13" i="70"/>
  <c r="AI13" i="70"/>
  <c r="BL13" i="70"/>
  <c r="AP13" i="70"/>
  <c r="CW13" i="70"/>
  <c r="AK13" i="70"/>
  <c r="CP13" i="70"/>
  <c r="AW13" i="70"/>
  <c r="CJ13" i="70"/>
  <c r="BJ13" i="70"/>
  <c r="CS13" i="70"/>
  <c r="AQ13" i="70"/>
  <c r="CN13" i="70"/>
  <c r="BQ13" i="70"/>
  <c r="CU13" i="70"/>
  <c r="AV13" i="70"/>
  <c r="AO13" i="70"/>
  <c r="BV13" i="70"/>
  <c r="BS13" i="70"/>
  <c r="AT13" i="70"/>
  <c r="BW13" i="70"/>
  <c r="AG13" i="70"/>
  <c r="CD13" i="70"/>
  <c r="BG13" i="70"/>
  <c r="BY13" i="70"/>
  <c r="AJ13" i="70"/>
  <c r="CL13" i="70"/>
  <c r="BI13" i="70"/>
  <c r="AS13" i="70"/>
  <c r="CI13" i="70"/>
  <c r="BK13" i="70"/>
  <c r="AL13" i="70"/>
  <c r="BM13" i="70"/>
  <c r="CO13" i="70"/>
  <c r="BT13" i="70"/>
  <c r="AX13" i="70"/>
  <c r="BO13" i="70"/>
  <c r="AN13" i="70"/>
  <c r="CF13" i="70"/>
  <c r="D13" i="70"/>
  <c r="CQ13" i="70"/>
  <c r="AU13" i="70"/>
  <c r="CT13" i="70"/>
  <c r="AR13" i="70"/>
  <c r="CE13" i="70"/>
  <c r="BH13" i="70"/>
  <c r="BP13" i="70"/>
  <c r="BZ13" i="70"/>
  <c r="CK13" i="70"/>
  <c r="AM13" i="70"/>
  <c r="BX13" i="70"/>
  <c r="AH13" i="70"/>
  <c r="BU13" i="70"/>
  <c r="AY13" i="70"/>
  <c r="CV13" i="70"/>
  <c r="BN13" i="70"/>
  <c r="CM13" i="70"/>
  <c r="AZ13" i="70"/>
  <c r="AG8" i="23"/>
  <c r="K8" i="25" s="1"/>
  <c r="A15" i="70"/>
  <c r="B14" i="70"/>
  <c r="BB12" i="70"/>
  <c r="BA12" i="70"/>
  <c r="N12" i="70" s="1"/>
  <c r="CA12" i="70"/>
  <c r="O12" i="70" s="1"/>
  <c r="AJ6" i="23"/>
  <c r="O6" i="25"/>
  <c r="Q11" i="67"/>
  <c r="BB12" i="67"/>
  <c r="BA12" i="67"/>
  <c r="N12" i="67" s="1"/>
  <c r="Y11" i="67" s="1"/>
  <c r="AV7" i="23"/>
  <c r="AD7" i="25"/>
  <c r="AR6" i="23"/>
  <c r="Y6" i="25"/>
  <c r="J7" i="25"/>
  <c r="AF7" i="23"/>
  <c r="AN7" i="23"/>
  <c r="T7" i="25"/>
  <c r="V7" i="23"/>
  <c r="AA7" i="24" s="1"/>
  <c r="CJ13" i="67"/>
  <c r="BS13" i="67"/>
  <c r="AL13" i="67"/>
  <c r="D13" i="67"/>
  <c r="X7" i="23" s="1"/>
  <c r="AD7" i="24" s="1"/>
  <c r="BH13" i="67"/>
  <c r="AR13" i="67"/>
  <c r="CD13" i="67"/>
  <c r="AX13" i="67"/>
  <c r="AK13" i="67"/>
  <c r="CK13" i="67"/>
  <c r="BK13" i="67"/>
  <c r="CW13" i="67"/>
  <c r="CS13" i="67"/>
  <c r="CF13" i="67"/>
  <c r="AO13" i="67"/>
  <c r="CV13" i="67"/>
  <c r="AU13" i="67"/>
  <c r="CO13" i="67"/>
  <c r="CT13" i="67"/>
  <c r="AH13" i="67"/>
  <c r="BU13" i="67"/>
  <c r="CU13" i="67"/>
  <c r="AT13" i="67"/>
  <c r="BV13" i="67"/>
  <c r="AM13" i="67"/>
  <c r="BY13" i="67"/>
  <c r="BM13" i="67"/>
  <c r="BW13" i="67"/>
  <c r="AQ13" i="67"/>
  <c r="BN13" i="67"/>
  <c r="CR13" i="67"/>
  <c r="CP13" i="67"/>
  <c r="BQ13" i="67"/>
  <c r="AY13" i="67"/>
  <c r="BG13" i="67"/>
  <c r="CE13" i="67"/>
  <c r="AZ13" i="67"/>
  <c r="AN13" i="67"/>
  <c r="BX13" i="67"/>
  <c r="CI13" i="67"/>
  <c r="BL13" i="67"/>
  <c r="BZ13" i="67"/>
  <c r="BI13" i="67"/>
  <c r="AI13" i="67"/>
  <c r="AW13" i="67"/>
  <c r="BP13" i="67"/>
  <c r="AJ13" i="67"/>
  <c r="CL13" i="67"/>
  <c r="AV13" i="67"/>
  <c r="BR13" i="67"/>
  <c r="AS13" i="67"/>
  <c r="CN13" i="67"/>
  <c r="AG13" i="67"/>
  <c r="AP13" i="67"/>
  <c r="CQ13" i="67"/>
  <c r="U8" i="23"/>
  <c r="Z8" i="24" s="1"/>
  <c r="B14" i="67"/>
  <c r="A15" i="67"/>
  <c r="BA12" i="66"/>
  <c r="N12" i="66" s="1"/>
  <c r="Y11" i="66" s="1"/>
  <c r="BB12" i="66"/>
  <c r="CA12" i="66"/>
  <c r="O12" i="66" s="1"/>
  <c r="R7" i="23"/>
  <c r="V7" i="24" s="1"/>
  <c r="CL13" i="66"/>
  <c r="BN13" i="66"/>
  <c r="AO13" i="66"/>
  <c r="CH13" i="66"/>
  <c r="CP13" i="66"/>
  <c r="BJ13" i="66"/>
  <c r="BH13" i="66"/>
  <c r="BS13" i="66"/>
  <c r="CM13" i="66"/>
  <c r="AX13" i="66"/>
  <c r="AG13" i="66"/>
  <c r="BY13" i="66"/>
  <c r="CF13" i="66"/>
  <c r="AR13" i="66"/>
  <c r="AZ13" i="66"/>
  <c r="BK13" i="66"/>
  <c r="AP13" i="66"/>
  <c r="CU13" i="66"/>
  <c r="BO13" i="66"/>
  <c r="BW13" i="66"/>
  <c r="CN13" i="66"/>
  <c r="AN13" i="66"/>
  <c r="D13" i="66"/>
  <c r="T7" i="23" s="1"/>
  <c r="Y7" i="24" s="1"/>
  <c r="CV13" i="66"/>
  <c r="AH13" i="66"/>
  <c r="BZ13" i="66"/>
  <c r="AU13" i="66"/>
  <c r="CI13" i="66"/>
  <c r="CS13" i="66"/>
  <c r="BP13" i="66"/>
  <c r="AK13" i="66"/>
  <c r="AS13" i="66"/>
  <c r="BI13" i="66"/>
  <c r="CG13" i="66"/>
  <c r="BU13" i="66"/>
  <c r="AV13" i="66"/>
  <c r="BX13" i="66"/>
  <c r="AI13" i="66"/>
  <c r="AQ13" i="66"/>
  <c r="BQ13" i="66"/>
  <c r="CW13" i="66"/>
  <c r="AM13" i="66"/>
  <c r="CQ13" i="66"/>
  <c r="CT13" i="66"/>
  <c r="BM13" i="66"/>
  <c r="AL13" i="66"/>
  <c r="AT13" i="66"/>
  <c r="CO13" i="66"/>
  <c r="AY13" i="66"/>
  <c r="CK13" i="66"/>
  <c r="BV13" i="66"/>
  <c r="AW13" i="66"/>
  <c r="CR13" i="66"/>
  <c r="AJ13" i="66"/>
  <c r="BT13" i="66"/>
  <c r="BR13" i="66"/>
  <c r="Q8" i="23"/>
  <c r="U8" i="24" s="1"/>
  <c r="B14" i="66"/>
  <c r="A15" i="66"/>
  <c r="V46" i="67"/>
  <c r="V53" i="67" s="1"/>
  <c r="V43" i="68" s="1"/>
  <c r="G33" i="50"/>
  <c r="CI14" i="71"/>
  <c r="CJ14" i="71"/>
  <c r="CK14" i="71"/>
  <c r="CL14" i="71"/>
  <c r="CM14" i="71"/>
  <c r="CQ14" i="71"/>
  <c r="CG14" i="71"/>
  <c r="CI14" i="68"/>
  <c r="CG14" i="68"/>
  <c r="CK14" i="68"/>
  <c r="CL14" i="68"/>
  <c r="CM14" i="68"/>
  <c r="CQ14" i="68"/>
  <c r="CQ14" i="73"/>
  <c r="CJ14" i="73"/>
  <c r="CG14" i="73"/>
  <c r="CI14" i="73"/>
  <c r="CK14" i="73"/>
  <c r="CL14" i="73"/>
  <c r="CM14" i="73"/>
  <c r="CI14" i="69"/>
  <c r="CJ14" i="69"/>
  <c r="CK14" i="69"/>
  <c r="CG14" i="69"/>
  <c r="CL14" i="69"/>
  <c r="CM14" i="69"/>
  <c r="CQ14" i="69"/>
  <c r="CJ13" i="72"/>
  <c r="CQ13" i="72"/>
  <c r="CK13" i="72"/>
  <c r="CI13" i="72"/>
  <c r="CL13" i="72"/>
  <c r="CM13" i="72"/>
  <c r="CG13" i="72"/>
  <c r="CJ14" i="65"/>
  <c r="CK14" i="65"/>
  <c r="CL14" i="65"/>
  <c r="CM14" i="65"/>
  <c r="CG14" i="65"/>
  <c r="CQ14" i="65"/>
  <c r="CI14" i="64"/>
  <c r="CL14" i="64"/>
  <c r="CM14" i="64"/>
  <c r="CJ14" i="64"/>
  <c r="CK14" i="64"/>
  <c r="CQ14" i="64"/>
  <c r="CI14" i="63"/>
  <c r="CJ14" i="63"/>
  <c r="CK14" i="63"/>
  <c r="CL14" i="63"/>
  <c r="CM14" i="63"/>
  <c r="CG14" i="63"/>
  <c r="CQ14" i="63"/>
  <c r="CX13" i="65"/>
  <c r="P13" i="65" s="1"/>
  <c r="CX13" i="71"/>
  <c r="P13" i="71" s="1"/>
  <c r="CX13" i="73"/>
  <c r="P13" i="73" s="1"/>
  <c r="Q12" i="68"/>
  <c r="B15" i="73"/>
  <c r="AT9" i="23" s="1"/>
  <c r="AA9" i="25" s="1"/>
  <c r="A16" i="73"/>
  <c r="AS10" i="23" s="1"/>
  <c r="Z10" i="25" s="1"/>
  <c r="CA13" i="73"/>
  <c r="O13" i="73" s="1"/>
  <c r="O12" i="73"/>
  <c r="BB13" i="73"/>
  <c r="BA13" i="73"/>
  <c r="N13" i="73" s="1"/>
  <c r="Q11" i="73"/>
  <c r="CV14" i="73"/>
  <c r="CN14" i="73"/>
  <c r="CF14" i="73"/>
  <c r="BX14" i="73"/>
  <c r="BP14" i="73"/>
  <c r="BH14" i="73"/>
  <c r="AZ14" i="73"/>
  <c r="AR14" i="73"/>
  <c r="AJ14" i="73"/>
  <c r="CU14" i="73"/>
  <c r="CE14" i="73"/>
  <c r="BW14" i="73"/>
  <c r="BO14" i="73"/>
  <c r="BG14" i="73"/>
  <c r="AY14" i="73"/>
  <c r="AQ14" i="73"/>
  <c r="AI14" i="73"/>
  <c r="CT14" i="73"/>
  <c r="CD14" i="73"/>
  <c r="BV14" i="73"/>
  <c r="BN14" i="73"/>
  <c r="AX14" i="73"/>
  <c r="AP14" i="73"/>
  <c r="AH14" i="73"/>
  <c r="CS14" i="73"/>
  <c r="BU14" i="73"/>
  <c r="BM14" i="73"/>
  <c r="AW14" i="73"/>
  <c r="AO14" i="73"/>
  <c r="AG14" i="73"/>
  <c r="CH14" i="73"/>
  <c r="BS14" i="73"/>
  <c r="AS14" i="73"/>
  <c r="CW14" i="73"/>
  <c r="BR14" i="73"/>
  <c r="AN14" i="73"/>
  <c r="CR14" i="73"/>
  <c r="BQ14" i="73"/>
  <c r="AM14" i="73"/>
  <c r="BL14" i="73"/>
  <c r="AL14" i="73"/>
  <c r="CP14" i="73"/>
  <c r="BK14" i="73"/>
  <c r="AK14" i="73"/>
  <c r="CO14" i="73"/>
  <c r="BZ14" i="73"/>
  <c r="BJ14" i="73"/>
  <c r="AV14" i="73"/>
  <c r="BY14" i="73"/>
  <c r="BI14" i="73"/>
  <c r="AU14" i="73"/>
  <c r="BT14" i="73"/>
  <c r="AT14" i="73"/>
  <c r="D14" i="73"/>
  <c r="CV13" i="72"/>
  <c r="CN13" i="72"/>
  <c r="BX13" i="72"/>
  <c r="BP13" i="72"/>
  <c r="BH13" i="72"/>
  <c r="AZ13" i="72"/>
  <c r="CT13" i="72"/>
  <c r="CD13" i="72"/>
  <c r="BV13" i="72"/>
  <c r="BN13" i="72"/>
  <c r="CR13" i="72"/>
  <c r="BT13" i="72"/>
  <c r="CW13" i="72"/>
  <c r="CO13" i="72"/>
  <c r="BY13" i="72"/>
  <c r="CE13" i="72"/>
  <c r="BR13" i="72"/>
  <c r="BG13" i="72"/>
  <c r="AX13" i="72"/>
  <c r="AP13" i="72"/>
  <c r="AH13" i="72"/>
  <c r="CS13" i="72"/>
  <c r="BQ13" i="72"/>
  <c r="AW13" i="72"/>
  <c r="AO13" i="72"/>
  <c r="AG13" i="72"/>
  <c r="BO13" i="72"/>
  <c r="AV13" i="72"/>
  <c r="AN13" i="72"/>
  <c r="CP13" i="72"/>
  <c r="BM13" i="72"/>
  <c r="AU13" i="72"/>
  <c r="AM13" i="72"/>
  <c r="BZ13" i="72"/>
  <c r="BL13" i="72"/>
  <c r="AT13" i="72"/>
  <c r="AL13" i="72"/>
  <c r="BW13" i="72"/>
  <c r="BK13" i="72"/>
  <c r="AS13" i="72"/>
  <c r="AK13" i="72"/>
  <c r="D13" i="72"/>
  <c r="BU13" i="72"/>
  <c r="BJ13" i="72"/>
  <c r="AR13" i="72"/>
  <c r="AJ13" i="72"/>
  <c r="CH13" i="72"/>
  <c r="BS13" i="72"/>
  <c r="BI13" i="72"/>
  <c r="AY13" i="72"/>
  <c r="AQ13" i="72"/>
  <c r="AI13" i="72"/>
  <c r="A15" i="72"/>
  <c r="AO9" i="23" s="1"/>
  <c r="U9" i="25" s="1"/>
  <c r="B14" i="72"/>
  <c r="AP8" i="23" s="1"/>
  <c r="V8" i="25" s="1"/>
  <c r="BB12" i="72"/>
  <c r="BA12" i="72"/>
  <c r="N12" i="72" s="1"/>
  <c r="CA12" i="72"/>
  <c r="O12" i="72" s="1"/>
  <c r="BB13" i="71"/>
  <c r="BA13" i="71"/>
  <c r="N13" i="71" s="1"/>
  <c r="B15" i="71"/>
  <c r="AL9" i="23" s="1"/>
  <c r="Q9" i="25" s="1"/>
  <c r="A16" i="71"/>
  <c r="AK10" i="23" s="1"/>
  <c r="P10" i="25" s="1"/>
  <c r="CA13" i="71"/>
  <c r="O13" i="71" s="1"/>
  <c r="CT14" i="71"/>
  <c r="CS14" i="71"/>
  <c r="CV14" i="71"/>
  <c r="BU14" i="71"/>
  <c r="BM14" i="71"/>
  <c r="AW14" i="71"/>
  <c r="AO14" i="71"/>
  <c r="AG14" i="71"/>
  <c r="CU14" i="71"/>
  <c r="BT14" i="71"/>
  <c r="BL14" i="71"/>
  <c r="AV14" i="71"/>
  <c r="AN14" i="71"/>
  <c r="CR14" i="71"/>
  <c r="BS14" i="71"/>
  <c r="BK14" i="71"/>
  <c r="AU14" i="71"/>
  <c r="AM14" i="71"/>
  <c r="CH14" i="71"/>
  <c r="BZ14" i="71"/>
  <c r="BR14" i="71"/>
  <c r="BJ14" i="71"/>
  <c r="AT14" i="71"/>
  <c r="AL14" i="71"/>
  <c r="CP14" i="71"/>
  <c r="BY14" i="71"/>
  <c r="BQ14" i="71"/>
  <c r="BI14" i="71"/>
  <c r="AS14" i="71"/>
  <c r="AK14" i="71"/>
  <c r="D14" i="71"/>
  <c r="CO14" i="71"/>
  <c r="CF14" i="71"/>
  <c r="BX14" i="71"/>
  <c r="BP14" i="71"/>
  <c r="BH14" i="71"/>
  <c r="AZ14" i="71"/>
  <c r="AR14" i="71"/>
  <c r="AJ14" i="71"/>
  <c r="CE14" i="71"/>
  <c r="BW14" i="71"/>
  <c r="BO14" i="71"/>
  <c r="BG14" i="71"/>
  <c r="AY14" i="71"/>
  <c r="AQ14" i="71"/>
  <c r="AI14" i="71"/>
  <c r="CW14" i="71"/>
  <c r="BV14" i="71"/>
  <c r="BN14" i="71"/>
  <c r="AX14" i="71"/>
  <c r="AP14" i="71"/>
  <c r="AH14" i="71"/>
  <c r="A16" i="69"/>
  <c r="AC10" i="23" s="1"/>
  <c r="F10" i="25" s="1"/>
  <c r="B15" i="69"/>
  <c r="AD9" i="23" s="1"/>
  <c r="G9" i="25" s="1"/>
  <c r="CV14" i="69"/>
  <c r="BX14" i="69"/>
  <c r="BP14" i="69"/>
  <c r="BH14" i="69"/>
  <c r="AZ14" i="69"/>
  <c r="AR14" i="69"/>
  <c r="AJ14" i="69"/>
  <c r="CU14" i="69"/>
  <c r="CE14" i="69"/>
  <c r="BW14" i="69"/>
  <c r="BO14" i="69"/>
  <c r="AY14" i="69"/>
  <c r="AQ14" i="69"/>
  <c r="AI14" i="69"/>
  <c r="CT14" i="69"/>
  <c r="BV14" i="69"/>
  <c r="BN14" i="69"/>
  <c r="AX14" i="69"/>
  <c r="AP14" i="69"/>
  <c r="AH14" i="69"/>
  <c r="CS14" i="69"/>
  <c r="BU14" i="69"/>
  <c r="BM14" i="69"/>
  <c r="AW14" i="69"/>
  <c r="AO14" i="69"/>
  <c r="AG14" i="69"/>
  <c r="CR14" i="69"/>
  <c r="BT14" i="69"/>
  <c r="AV14" i="69"/>
  <c r="AN14" i="69"/>
  <c r="BS14" i="69"/>
  <c r="BK14" i="69"/>
  <c r="AU14" i="69"/>
  <c r="AM14" i="69"/>
  <c r="CH14" i="69"/>
  <c r="BZ14" i="69"/>
  <c r="BR14" i="69"/>
  <c r="BJ14" i="69"/>
  <c r="AT14" i="69"/>
  <c r="AL14" i="69"/>
  <c r="CO14" i="69"/>
  <c r="BY14" i="69"/>
  <c r="AS14" i="69"/>
  <c r="AK14" i="69"/>
  <c r="D14" i="69"/>
  <c r="BI14" i="69"/>
  <c r="CW14" i="69"/>
  <c r="BB13" i="69"/>
  <c r="BA13" i="69"/>
  <c r="CA13" i="69"/>
  <c r="O13" i="69" s="1"/>
  <c r="BB13" i="68"/>
  <c r="BA13" i="68"/>
  <c r="A16" i="68"/>
  <c r="Y10" i="23" s="1"/>
  <c r="A10" i="25" s="1"/>
  <c r="B15" i="68"/>
  <c r="Z9" i="23" s="1"/>
  <c r="B9" i="25" s="1"/>
  <c r="CA13" i="68"/>
  <c r="CP14" i="68"/>
  <c r="CH14" i="68"/>
  <c r="BZ14" i="68"/>
  <c r="BR14" i="68"/>
  <c r="BJ14" i="68"/>
  <c r="AT14" i="68"/>
  <c r="AL14" i="68"/>
  <c r="CW14" i="68"/>
  <c r="CO14" i="68"/>
  <c r="BY14" i="68"/>
  <c r="BI14" i="68"/>
  <c r="AS14" i="68"/>
  <c r="AK14" i="68"/>
  <c r="D14" i="68"/>
  <c r="AB8" i="23" s="1"/>
  <c r="E8" i="25" s="1"/>
  <c r="CV14" i="68"/>
  <c r="BP14" i="68"/>
  <c r="AV14" i="68"/>
  <c r="AJ14" i="68"/>
  <c r="CU14" i="68"/>
  <c r="BO14" i="68"/>
  <c r="AU14" i="68"/>
  <c r="AI14" i="68"/>
  <c r="CS14" i="68"/>
  <c r="BT14" i="68"/>
  <c r="AR14" i="68"/>
  <c r="CR14" i="68"/>
  <c r="BS14" i="68"/>
  <c r="AQ14" i="68"/>
  <c r="BN14" i="68"/>
  <c r="AP14" i="68"/>
  <c r="BM14" i="68"/>
  <c r="AO14" i="68"/>
  <c r="BX14" i="68"/>
  <c r="AZ14" i="68"/>
  <c r="AN14" i="68"/>
  <c r="BW14" i="68"/>
  <c r="BK14" i="68"/>
  <c r="AY14" i="68"/>
  <c r="AM14" i="68"/>
  <c r="BV14" i="68"/>
  <c r="BH14" i="68"/>
  <c r="AX14" i="68"/>
  <c r="AH14" i="68"/>
  <c r="CT14" i="68"/>
  <c r="CF14" i="68"/>
  <c r="BU14" i="68"/>
  <c r="AW14" i="68"/>
  <c r="AG14" i="68"/>
  <c r="CA13" i="65"/>
  <c r="B15" i="65"/>
  <c r="N9" i="23" s="1"/>
  <c r="Q9" i="24" s="1"/>
  <c r="A16" i="65"/>
  <c r="M10" i="23" s="1"/>
  <c r="P10" i="24" s="1"/>
  <c r="CP14" i="65"/>
  <c r="CH14" i="65"/>
  <c r="BZ14" i="65"/>
  <c r="BR14" i="65"/>
  <c r="BJ14" i="65"/>
  <c r="AT14" i="65"/>
  <c r="AL14" i="65"/>
  <c r="CW14" i="65"/>
  <c r="CO14" i="65"/>
  <c r="BY14" i="65"/>
  <c r="BQ14" i="65"/>
  <c r="BI14" i="65"/>
  <c r="AS14" i="65"/>
  <c r="AK14" i="65"/>
  <c r="D14" i="65"/>
  <c r="P8" i="23" s="1"/>
  <c r="T8" i="24" s="1"/>
  <c r="CV14" i="65"/>
  <c r="CN14" i="65"/>
  <c r="CF14" i="65"/>
  <c r="BX14" i="65"/>
  <c r="BP14" i="65"/>
  <c r="BH14" i="65"/>
  <c r="AZ14" i="65"/>
  <c r="AR14" i="65"/>
  <c r="AJ14" i="65"/>
  <c r="CU14" i="65"/>
  <c r="CE14" i="65"/>
  <c r="BW14" i="65"/>
  <c r="BO14" i="65"/>
  <c r="BG14" i="65"/>
  <c r="AY14" i="65"/>
  <c r="AQ14" i="65"/>
  <c r="AI14" i="65"/>
  <c r="CT14" i="65"/>
  <c r="BV14" i="65"/>
  <c r="BN14" i="65"/>
  <c r="AX14" i="65"/>
  <c r="AP14" i="65"/>
  <c r="AH14" i="65"/>
  <c r="CS14" i="65"/>
  <c r="BU14" i="65"/>
  <c r="BM14" i="65"/>
  <c r="AW14" i="65"/>
  <c r="AO14" i="65"/>
  <c r="AG14" i="65"/>
  <c r="CR14" i="65"/>
  <c r="BT14" i="65"/>
  <c r="BL14" i="65"/>
  <c r="AV14" i="65"/>
  <c r="AN14" i="65"/>
  <c r="BS14" i="65"/>
  <c r="BK14" i="65"/>
  <c r="AU14" i="65"/>
  <c r="AM14" i="65"/>
  <c r="N12" i="65"/>
  <c r="BB13" i="65"/>
  <c r="BA13" i="65"/>
  <c r="N13" i="65" s="1"/>
  <c r="BS14" i="64"/>
  <c r="BK14" i="64"/>
  <c r="AU14" i="64"/>
  <c r="AM14" i="64"/>
  <c r="CP14" i="64"/>
  <c r="BZ14" i="64"/>
  <c r="BR14" i="64"/>
  <c r="AT14" i="64"/>
  <c r="AL14" i="64"/>
  <c r="CN14" i="64"/>
  <c r="CD14" i="64"/>
  <c r="BT14" i="64"/>
  <c r="BH14" i="64"/>
  <c r="AY14" i="64"/>
  <c r="AO14" i="64"/>
  <c r="D14" i="64"/>
  <c r="L8" i="23" s="1"/>
  <c r="O8" i="24" s="1"/>
  <c r="CW14" i="64"/>
  <c r="BQ14" i="64"/>
  <c r="BG14" i="64"/>
  <c r="AX14" i="64"/>
  <c r="AN14" i="64"/>
  <c r="CV14" i="64"/>
  <c r="BP14" i="64"/>
  <c r="AW14" i="64"/>
  <c r="AK14" i="64"/>
  <c r="CU14" i="64"/>
  <c r="BY14" i="64"/>
  <c r="BO14" i="64"/>
  <c r="AV14" i="64"/>
  <c r="AJ14" i="64"/>
  <c r="CT14" i="64"/>
  <c r="BX14" i="64"/>
  <c r="BN14" i="64"/>
  <c r="AS14" i="64"/>
  <c r="AI14" i="64"/>
  <c r="CS14" i="64"/>
  <c r="BW14" i="64"/>
  <c r="BM14" i="64"/>
  <c r="AR14" i="64"/>
  <c r="AH14" i="64"/>
  <c r="CR14" i="64"/>
  <c r="CF14" i="64"/>
  <c r="BV14" i="64"/>
  <c r="BL14" i="64"/>
  <c r="AQ14" i="64"/>
  <c r="AG14" i="64"/>
  <c r="CO14" i="64"/>
  <c r="CE14" i="64"/>
  <c r="BU14" i="64"/>
  <c r="BI14" i="64"/>
  <c r="AZ14" i="64"/>
  <c r="AP14" i="64"/>
  <c r="BB13" i="64"/>
  <c r="BA13" i="64"/>
  <c r="N13" i="64" s="1"/>
  <c r="N12" i="64"/>
  <c r="Y11" i="64" s="1"/>
  <c r="A16" i="64"/>
  <c r="I10" i="23" s="1"/>
  <c r="K10" i="24" s="1"/>
  <c r="B15" i="64"/>
  <c r="J9" i="23" s="1"/>
  <c r="L9" i="24" s="1"/>
  <c r="BB13" i="63"/>
  <c r="BA13" i="63"/>
  <c r="CT14" i="63"/>
  <c r="CD14" i="63"/>
  <c r="BV14" i="63"/>
  <c r="BN14" i="63"/>
  <c r="AX14" i="63"/>
  <c r="AP14" i="63"/>
  <c r="AH14" i="63"/>
  <c r="CS14" i="63"/>
  <c r="BU14" i="63"/>
  <c r="BM14" i="63"/>
  <c r="AW14" i="63"/>
  <c r="AO14" i="63"/>
  <c r="AG14" i="63"/>
  <c r="CR14" i="63"/>
  <c r="BT14" i="63"/>
  <c r="BL14" i="63"/>
  <c r="AV14" i="63"/>
  <c r="AN14" i="63"/>
  <c r="BS14" i="63"/>
  <c r="BK14" i="63"/>
  <c r="AU14" i="63"/>
  <c r="AM14" i="63"/>
  <c r="CP14" i="63"/>
  <c r="CH14" i="63"/>
  <c r="BZ14" i="63"/>
  <c r="BR14" i="63"/>
  <c r="BJ14" i="63"/>
  <c r="AT14" i="63"/>
  <c r="AL14" i="63"/>
  <c r="CW14" i="63"/>
  <c r="CO14" i="63"/>
  <c r="BY14" i="63"/>
  <c r="BQ14" i="63"/>
  <c r="BI14" i="63"/>
  <c r="AS14" i="63"/>
  <c r="AK14" i="63"/>
  <c r="D14" i="63"/>
  <c r="H8" i="23" s="1"/>
  <c r="J8" i="24" s="1"/>
  <c r="CV14" i="63"/>
  <c r="CN14" i="63"/>
  <c r="BX14" i="63"/>
  <c r="BP14" i="63"/>
  <c r="AZ14" i="63"/>
  <c r="AR14" i="63"/>
  <c r="AJ14" i="63"/>
  <c r="CU14" i="63"/>
  <c r="BW14" i="63"/>
  <c r="BO14" i="63"/>
  <c r="BG14" i="63"/>
  <c r="AY14" i="63"/>
  <c r="AQ14" i="63"/>
  <c r="AI14" i="63"/>
  <c r="B15" i="63"/>
  <c r="F9" i="23" s="1"/>
  <c r="G9" i="24" s="1"/>
  <c r="A16" i="63"/>
  <c r="E10" i="23" s="1"/>
  <c r="F10" i="24" s="1"/>
  <c r="BB13" i="70" l="1"/>
  <c r="BA13" i="70"/>
  <c r="N13" i="70" s="1"/>
  <c r="AH8" i="23"/>
  <c r="L8" i="25" s="1"/>
  <c r="CK14" i="70"/>
  <c r="BN14" i="70"/>
  <c r="AO14" i="70"/>
  <c r="BH14" i="70"/>
  <c r="AM14" i="70"/>
  <c r="BY14" i="70"/>
  <c r="CP14" i="70"/>
  <c r="BT14" i="70"/>
  <c r="CN14" i="70"/>
  <c r="BW14" i="70"/>
  <c r="CL14" i="70"/>
  <c r="AX14" i="70"/>
  <c r="AG14" i="70"/>
  <c r="AZ14" i="70"/>
  <c r="CU14" i="70"/>
  <c r="BO14" i="70"/>
  <c r="CF14" i="70"/>
  <c r="BJ14" i="70"/>
  <c r="AN14" i="70"/>
  <c r="AU14" i="70"/>
  <c r="CM14" i="70"/>
  <c r="AP14" i="70"/>
  <c r="BZ14" i="70"/>
  <c r="AR14" i="70"/>
  <c r="CG14" i="70"/>
  <c r="AH14" i="70"/>
  <c r="BS14" i="70"/>
  <c r="D14" i="70"/>
  <c r="BP14" i="70"/>
  <c r="AK14" i="70"/>
  <c r="BK14" i="70"/>
  <c r="CS14" i="70"/>
  <c r="BI14" i="70"/>
  <c r="CV14" i="70"/>
  <c r="AV14" i="70"/>
  <c r="BX14" i="70"/>
  <c r="AS14" i="70"/>
  <c r="CI14" i="70"/>
  <c r="CT14" i="70"/>
  <c r="BU14" i="70"/>
  <c r="AQ14" i="70"/>
  <c r="BQ14" i="70"/>
  <c r="AL14" i="70"/>
  <c r="BL14" i="70"/>
  <c r="AI14" i="70"/>
  <c r="CQ14" i="70"/>
  <c r="CD14" i="70"/>
  <c r="BM14" i="70"/>
  <c r="CW14" i="70"/>
  <c r="BG14" i="70"/>
  <c r="CR14" i="70"/>
  <c r="AT14" i="70"/>
  <c r="CO14" i="70"/>
  <c r="BR14" i="70"/>
  <c r="AJ14" i="70"/>
  <c r="CJ14" i="70"/>
  <c r="BV14" i="70"/>
  <c r="AW14" i="70"/>
  <c r="AY14" i="70"/>
  <c r="CH14" i="70"/>
  <c r="CE14" i="70"/>
  <c r="AG9" i="23"/>
  <c r="K9" i="25" s="1"/>
  <c r="B15" i="70"/>
  <c r="A16" i="70"/>
  <c r="AJ7" i="23"/>
  <c r="O7" i="25"/>
  <c r="CA13" i="70"/>
  <c r="O13" i="70" s="1"/>
  <c r="U9" i="23"/>
  <c r="Z9" i="24" s="1"/>
  <c r="A16" i="67"/>
  <c r="B15" i="67"/>
  <c r="J8" i="25"/>
  <c r="AF8" i="23"/>
  <c r="T8" i="25"/>
  <c r="AN8" i="23"/>
  <c r="V8" i="23"/>
  <c r="AA8" i="24" s="1"/>
  <c r="AI14" i="67"/>
  <c r="CS14" i="67"/>
  <c r="AN14" i="67"/>
  <c r="AT14" i="67"/>
  <c r="AK14" i="67"/>
  <c r="AJ14" i="67"/>
  <c r="AX14" i="67"/>
  <c r="CI14" i="67"/>
  <c r="CU14" i="67"/>
  <c r="CT14" i="67"/>
  <c r="BM14" i="67"/>
  <c r="BS14" i="67"/>
  <c r="AL14" i="67"/>
  <c r="CV14" i="67"/>
  <c r="D14" i="67"/>
  <c r="X8" i="23" s="1"/>
  <c r="AD8" i="24" s="1"/>
  <c r="BZ14" i="67"/>
  <c r="AS14" i="67"/>
  <c r="CK14" i="67"/>
  <c r="CE14" i="67"/>
  <c r="CD14" i="67"/>
  <c r="AW14" i="67"/>
  <c r="AU14" i="67"/>
  <c r="CW14" i="67"/>
  <c r="CN14" i="67"/>
  <c r="CO14" i="67"/>
  <c r="BT14" i="67"/>
  <c r="AR14" i="67"/>
  <c r="CQ14" i="67"/>
  <c r="BW14" i="67"/>
  <c r="BV14" i="67"/>
  <c r="AO14" i="67"/>
  <c r="AM14" i="67"/>
  <c r="CF14" i="67"/>
  <c r="BG14" i="67"/>
  <c r="BH14" i="67"/>
  <c r="AV14" i="67"/>
  <c r="CJ14" i="67"/>
  <c r="BO14" i="67"/>
  <c r="BN14" i="67"/>
  <c r="AG14" i="67"/>
  <c r="CP14" i="67"/>
  <c r="BY14" i="67"/>
  <c r="BX14" i="67"/>
  <c r="BQ14" i="67"/>
  <c r="BJ14" i="67"/>
  <c r="CL14" i="67"/>
  <c r="CM14" i="67"/>
  <c r="AY14" i="67"/>
  <c r="AP14" i="67"/>
  <c r="BL14" i="67"/>
  <c r="BR14" i="67"/>
  <c r="BI14" i="67"/>
  <c r="AZ14" i="67"/>
  <c r="AH14" i="67"/>
  <c r="CG14" i="67"/>
  <c r="AQ14" i="67"/>
  <c r="Y7" i="25"/>
  <c r="AR7" i="23"/>
  <c r="AV8" i="23"/>
  <c r="AD8" i="25"/>
  <c r="BB13" i="67"/>
  <c r="BA13" i="67"/>
  <c r="N13" i="67" s="1"/>
  <c r="Q9" i="23"/>
  <c r="U9" i="24" s="1"/>
  <c r="A16" i="66"/>
  <c r="B15" i="66"/>
  <c r="BA13" i="66"/>
  <c r="N13" i="66" s="1"/>
  <c r="BB13" i="66"/>
  <c r="R8" i="23"/>
  <c r="V8" i="24" s="1"/>
  <c r="CL14" i="66"/>
  <c r="CO14" i="66"/>
  <c r="CN14" i="66"/>
  <c r="BV14" i="66"/>
  <c r="CD14" i="66"/>
  <c r="AM14" i="66"/>
  <c r="CT14" i="66"/>
  <c r="AG14" i="66"/>
  <c r="CM14" i="66"/>
  <c r="BY14" i="66"/>
  <c r="BX14" i="66"/>
  <c r="BL14" i="66"/>
  <c r="BT14" i="66"/>
  <c r="BR14" i="66"/>
  <c r="BZ14" i="66"/>
  <c r="BN14" i="66"/>
  <c r="AH14" i="66"/>
  <c r="CQ14" i="66"/>
  <c r="BQ14" i="66"/>
  <c r="BP14" i="66"/>
  <c r="AP14" i="66"/>
  <c r="BJ14" i="66"/>
  <c r="AV14" i="66"/>
  <c r="CU14" i="66"/>
  <c r="CG14" i="66"/>
  <c r="BI14" i="66"/>
  <c r="AZ14" i="66"/>
  <c r="BU14" i="66"/>
  <c r="AX14" i="66"/>
  <c r="AL14" i="66"/>
  <c r="AT14" i="66"/>
  <c r="AS14" i="66"/>
  <c r="AR14" i="66"/>
  <c r="BK14" i="66"/>
  <c r="AN14" i="66"/>
  <c r="AK14" i="66"/>
  <c r="AJ14" i="66"/>
  <c r="AY14" i="66"/>
  <c r="BS14" i="66"/>
  <c r="BO14" i="66"/>
  <c r="CS14" i="66"/>
  <c r="AW14" i="66"/>
  <c r="CI14" i="66"/>
  <c r="D14" i="66"/>
  <c r="T8" i="23" s="1"/>
  <c r="Y8" i="24" s="1"/>
  <c r="CR14" i="66"/>
  <c r="AO14" i="66"/>
  <c r="BG14" i="66"/>
  <c r="AU14" i="66"/>
  <c r="BW14" i="66"/>
  <c r="AI14" i="66"/>
  <c r="CJ14" i="66"/>
  <c r="CW14" i="66"/>
  <c r="CV14" i="66"/>
  <c r="CH14" i="66"/>
  <c r="CP14" i="66"/>
  <c r="AQ14" i="66"/>
  <c r="V44" i="68"/>
  <c r="V51" i="68" s="1"/>
  <c r="V45" i="69" s="1"/>
  <c r="G34" i="50"/>
  <c r="CM15" i="71"/>
  <c r="CI15" i="71"/>
  <c r="CJ15" i="71"/>
  <c r="CK15" i="71"/>
  <c r="CQ15" i="71"/>
  <c r="CL15" i="71"/>
  <c r="CG15" i="71"/>
  <c r="CI15" i="68"/>
  <c r="CQ15" i="68"/>
  <c r="CL15" i="68"/>
  <c r="CM15" i="68"/>
  <c r="CG15" i="68"/>
  <c r="CJ15" i="68"/>
  <c r="CI15" i="69"/>
  <c r="CJ15" i="69"/>
  <c r="CK15" i="69"/>
  <c r="CL15" i="69"/>
  <c r="CM15" i="69"/>
  <c r="CK15" i="73"/>
  <c r="CQ15" i="73"/>
  <c r="CL15" i="73"/>
  <c r="CM15" i="73"/>
  <c r="CG15" i="73"/>
  <c r="CI15" i="73"/>
  <c r="CJ15" i="73"/>
  <c r="CQ14" i="72"/>
  <c r="CI14" i="72"/>
  <c r="CJ14" i="72"/>
  <c r="CK14" i="72"/>
  <c r="CL14" i="72"/>
  <c r="CM14" i="72"/>
  <c r="CI15" i="65"/>
  <c r="CK15" i="65"/>
  <c r="CG15" i="65"/>
  <c r="CL15" i="65"/>
  <c r="CQ15" i="65"/>
  <c r="CM15" i="65"/>
  <c r="CI15" i="64"/>
  <c r="CQ15" i="64"/>
  <c r="CJ15" i="64"/>
  <c r="CK15" i="64"/>
  <c r="CL15" i="64"/>
  <c r="CG15" i="64"/>
  <c r="CM15" i="64"/>
  <c r="CI15" i="63"/>
  <c r="CJ15" i="63"/>
  <c r="CK15" i="63"/>
  <c r="CL15" i="63"/>
  <c r="CM15" i="63"/>
  <c r="CQ15" i="63"/>
  <c r="Q12" i="73"/>
  <c r="Z11" i="73"/>
  <c r="Z40" i="73" s="1"/>
  <c r="CX14" i="73"/>
  <c r="P14" i="73" s="1"/>
  <c r="Q13" i="73"/>
  <c r="BB14" i="73"/>
  <c r="BA14" i="73"/>
  <c r="N14" i="73" s="1"/>
  <c r="CA14" i="73"/>
  <c r="O14" i="73" s="1"/>
  <c r="A17" i="73"/>
  <c r="AS11" i="23" s="1"/>
  <c r="Z11" i="25" s="1"/>
  <c r="B16" i="73"/>
  <c r="AT10" i="23" s="1"/>
  <c r="AA10" i="25" s="1"/>
  <c r="BS15" i="73"/>
  <c r="BK15" i="73"/>
  <c r="AU15" i="73"/>
  <c r="AM15" i="73"/>
  <c r="CP15" i="73"/>
  <c r="CH15" i="73"/>
  <c r="BZ15" i="73"/>
  <c r="BR15" i="73"/>
  <c r="BJ15" i="73"/>
  <c r="AT15" i="73"/>
  <c r="AL15" i="73"/>
  <c r="CW15" i="73"/>
  <c r="CO15" i="73"/>
  <c r="BY15" i="73"/>
  <c r="BQ15" i="73"/>
  <c r="BI15" i="73"/>
  <c r="AS15" i="73"/>
  <c r="AK15" i="73"/>
  <c r="D15" i="73"/>
  <c r="CV15" i="73"/>
  <c r="CN15" i="73"/>
  <c r="CF15" i="73"/>
  <c r="BX15" i="73"/>
  <c r="BP15" i="73"/>
  <c r="BH15" i="73"/>
  <c r="AZ15" i="73"/>
  <c r="AR15" i="73"/>
  <c r="AJ15" i="73"/>
  <c r="CS15" i="73"/>
  <c r="BU15" i="73"/>
  <c r="BM15" i="73"/>
  <c r="AW15" i="73"/>
  <c r="AO15" i="73"/>
  <c r="AG15" i="73"/>
  <c r="CR15" i="73"/>
  <c r="BT15" i="73"/>
  <c r="BL15" i="73"/>
  <c r="AV15" i="73"/>
  <c r="AN15" i="73"/>
  <c r="CT15" i="73"/>
  <c r="BV15" i="73"/>
  <c r="AY15" i="73"/>
  <c r="BO15" i="73"/>
  <c r="AX15" i="73"/>
  <c r="BN15" i="73"/>
  <c r="AQ15" i="73"/>
  <c r="CE15" i="73"/>
  <c r="BG15" i="73"/>
  <c r="AP15" i="73"/>
  <c r="CD15" i="73"/>
  <c r="AI15" i="73"/>
  <c r="AH15" i="73"/>
  <c r="CU15" i="73"/>
  <c r="BW15" i="73"/>
  <c r="BB13" i="72"/>
  <c r="BA13" i="72"/>
  <c r="N13" i="72" s="1"/>
  <c r="CA13" i="72"/>
  <c r="A16" i="72"/>
  <c r="AO10" i="23" s="1"/>
  <c r="U10" i="25" s="1"/>
  <c r="B15" i="72"/>
  <c r="AP9" i="23" s="1"/>
  <c r="V9" i="25" s="1"/>
  <c r="BS14" i="72"/>
  <c r="BK14" i="72"/>
  <c r="AU14" i="72"/>
  <c r="AM14" i="72"/>
  <c r="CW14" i="72"/>
  <c r="CO14" i="72"/>
  <c r="BY14" i="72"/>
  <c r="BQ14" i="72"/>
  <c r="BI14" i="72"/>
  <c r="AS14" i="72"/>
  <c r="AK14" i="72"/>
  <c r="D14" i="72"/>
  <c r="CU14" i="72"/>
  <c r="BO14" i="72"/>
  <c r="BG14" i="72"/>
  <c r="AY14" i="72"/>
  <c r="AQ14" i="72"/>
  <c r="AI14" i="72"/>
  <c r="CD14" i="72"/>
  <c r="BV14" i="72"/>
  <c r="BN14" i="72"/>
  <c r="AX14" i="72"/>
  <c r="AP14" i="72"/>
  <c r="AH14" i="72"/>
  <c r="CS14" i="72"/>
  <c r="BU14" i="72"/>
  <c r="BM14" i="72"/>
  <c r="AW14" i="72"/>
  <c r="AO14" i="72"/>
  <c r="AG14" i="72"/>
  <c r="CR14" i="72"/>
  <c r="BT14" i="72"/>
  <c r="BL14" i="72"/>
  <c r="AV14" i="72"/>
  <c r="AN14" i="72"/>
  <c r="CP14" i="72"/>
  <c r="BR14" i="72"/>
  <c r="CN14" i="72"/>
  <c r="BP14" i="72"/>
  <c r="AZ14" i="72"/>
  <c r="CH14" i="72"/>
  <c r="BJ14" i="72"/>
  <c r="AT14" i="72"/>
  <c r="CF14" i="72"/>
  <c r="AR14" i="72"/>
  <c r="AL14" i="72"/>
  <c r="AJ14" i="72"/>
  <c r="BZ14" i="72"/>
  <c r="BX14" i="72"/>
  <c r="A17" i="71"/>
  <c r="AK11" i="23" s="1"/>
  <c r="P11" i="25" s="1"/>
  <c r="B16" i="71"/>
  <c r="AL10" i="23" s="1"/>
  <c r="Q10" i="25" s="1"/>
  <c r="BB14" i="71"/>
  <c r="BA14" i="71"/>
  <c r="CW15" i="71"/>
  <c r="BY15" i="71"/>
  <c r="BQ15" i="71"/>
  <c r="BI15" i="71"/>
  <c r="AS15" i="71"/>
  <c r="AK15" i="71"/>
  <c r="D15" i="71"/>
  <c r="CV15" i="71"/>
  <c r="CN15" i="71"/>
  <c r="CF15" i="71"/>
  <c r="BX15" i="71"/>
  <c r="BP15" i="71"/>
  <c r="BH15" i="71"/>
  <c r="AZ15" i="71"/>
  <c r="AR15" i="71"/>
  <c r="AJ15" i="71"/>
  <c r="CS15" i="71"/>
  <c r="BW15" i="71"/>
  <c r="BM15" i="71"/>
  <c r="AQ15" i="71"/>
  <c r="AG15" i="71"/>
  <c r="CR15" i="71"/>
  <c r="CH15" i="71"/>
  <c r="BV15" i="71"/>
  <c r="BL15" i="71"/>
  <c r="AP15" i="71"/>
  <c r="BU15" i="71"/>
  <c r="BK15" i="71"/>
  <c r="AY15" i="71"/>
  <c r="AO15" i="71"/>
  <c r="CP15" i="71"/>
  <c r="CD15" i="71"/>
  <c r="BT15" i="71"/>
  <c r="BJ15" i="71"/>
  <c r="AX15" i="71"/>
  <c r="AN15" i="71"/>
  <c r="BS15" i="71"/>
  <c r="BG15" i="71"/>
  <c r="AW15" i="71"/>
  <c r="AM15" i="71"/>
  <c r="BR15" i="71"/>
  <c r="AV15" i="71"/>
  <c r="AL15" i="71"/>
  <c r="CU15" i="71"/>
  <c r="BO15" i="71"/>
  <c r="AU15" i="71"/>
  <c r="AI15" i="71"/>
  <c r="CT15" i="71"/>
  <c r="BZ15" i="71"/>
  <c r="BN15" i="71"/>
  <c r="AT15" i="71"/>
  <c r="AH15" i="71"/>
  <c r="Q13" i="71"/>
  <c r="CA14" i="71"/>
  <c r="O14" i="71" s="1"/>
  <c r="N13" i="69"/>
  <c r="Y12" i="69" s="1"/>
  <c r="BB14" i="69"/>
  <c r="BA14" i="69"/>
  <c r="N14" i="69" s="1"/>
  <c r="Y13" i="69" s="1"/>
  <c r="CT15" i="69"/>
  <c r="CR15" i="69"/>
  <c r="CS15" i="69"/>
  <c r="BS15" i="69"/>
  <c r="BK15" i="69"/>
  <c r="AU15" i="69"/>
  <c r="AM15" i="69"/>
  <c r="CH15" i="69"/>
  <c r="BZ15" i="69"/>
  <c r="BJ15" i="69"/>
  <c r="AT15" i="69"/>
  <c r="AL15" i="69"/>
  <c r="CP15" i="69"/>
  <c r="BY15" i="69"/>
  <c r="BQ15" i="69"/>
  <c r="BI15" i="69"/>
  <c r="AS15" i="69"/>
  <c r="AK15" i="69"/>
  <c r="D15" i="69"/>
  <c r="CF15" i="69"/>
  <c r="BX15" i="69"/>
  <c r="BP15" i="69"/>
  <c r="AZ15" i="69"/>
  <c r="AR15" i="69"/>
  <c r="AJ15" i="69"/>
  <c r="CN15" i="69"/>
  <c r="BW15" i="69"/>
  <c r="BO15" i="69"/>
  <c r="BG15" i="69"/>
  <c r="AY15" i="69"/>
  <c r="AQ15" i="69"/>
  <c r="AI15" i="69"/>
  <c r="CW15" i="69"/>
  <c r="CD15" i="69"/>
  <c r="BV15" i="69"/>
  <c r="BN15" i="69"/>
  <c r="AX15" i="69"/>
  <c r="AP15" i="69"/>
  <c r="AH15" i="69"/>
  <c r="CV15" i="69"/>
  <c r="BU15" i="69"/>
  <c r="AW15" i="69"/>
  <c r="AO15" i="69"/>
  <c r="AG15" i="69"/>
  <c r="BL15" i="69"/>
  <c r="BT15" i="69"/>
  <c r="CU15" i="69"/>
  <c r="AV15" i="69"/>
  <c r="AN15" i="69"/>
  <c r="B16" i="69"/>
  <c r="AD10" i="23" s="1"/>
  <c r="G10" i="25" s="1"/>
  <c r="A17" i="69"/>
  <c r="AC11" i="23" s="1"/>
  <c r="F11" i="25" s="1"/>
  <c r="O13" i="68"/>
  <c r="CS15" i="68"/>
  <c r="BU15" i="68"/>
  <c r="AW15" i="68"/>
  <c r="AO15" i="68"/>
  <c r="AG15" i="68"/>
  <c r="CR15" i="68"/>
  <c r="BT15" i="68"/>
  <c r="BL15" i="68"/>
  <c r="AV15" i="68"/>
  <c r="AN15" i="68"/>
  <c r="BW15" i="68"/>
  <c r="BK15" i="68"/>
  <c r="AS15" i="68"/>
  <c r="AI15" i="68"/>
  <c r="CN15" i="68"/>
  <c r="CD15" i="68"/>
  <c r="BV15" i="68"/>
  <c r="BJ15" i="68"/>
  <c r="AR15" i="68"/>
  <c r="AH15" i="68"/>
  <c r="CW15" i="68"/>
  <c r="BY15" i="68"/>
  <c r="BI15" i="68"/>
  <c r="AZ15" i="68"/>
  <c r="AL15" i="68"/>
  <c r="CV15" i="68"/>
  <c r="CH15" i="68"/>
  <c r="BX15" i="68"/>
  <c r="AY15" i="68"/>
  <c r="AK15" i="68"/>
  <c r="CU15" i="68"/>
  <c r="BS15" i="68"/>
  <c r="BG15" i="68"/>
  <c r="AX15" i="68"/>
  <c r="AJ15" i="68"/>
  <c r="D15" i="68"/>
  <c r="AB9" i="23" s="1"/>
  <c r="E9" i="25" s="1"/>
  <c r="CT15" i="68"/>
  <c r="AU15" i="68"/>
  <c r="BQ15" i="68"/>
  <c r="AT15" i="68"/>
  <c r="CP15" i="68"/>
  <c r="BP15" i="68"/>
  <c r="AQ15" i="68"/>
  <c r="BO15" i="68"/>
  <c r="AP15" i="68"/>
  <c r="BZ15" i="68"/>
  <c r="BN15" i="68"/>
  <c r="AM15" i="68"/>
  <c r="B16" i="68"/>
  <c r="Z10" i="23" s="1"/>
  <c r="B10" i="25" s="1"/>
  <c r="A17" i="68"/>
  <c r="Y11" i="23" s="1"/>
  <c r="A11" i="25" s="1"/>
  <c r="N13" i="68"/>
  <c r="BB14" i="68"/>
  <c r="BA14" i="68"/>
  <c r="N14" i="68" s="1"/>
  <c r="BB14" i="65"/>
  <c r="BA14" i="65"/>
  <c r="A17" i="65"/>
  <c r="M11" i="23" s="1"/>
  <c r="P11" i="24" s="1"/>
  <c r="B16" i="65"/>
  <c r="N10" i="23" s="1"/>
  <c r="Q10" i="24" s="1"/>
  <c r="CV15" i="65"/>
  <c r="CN15" i="65"/>
  <c r="CF15" i="65"/>
  <c r="CU15" i="65"/>
  <c r="CO15" i="65"/>
  <c r="BU15" i="65"/>
  <c r="BM15" i="65"/>
  <c r="AW15" i="65"/>
  <c r="AO15" i="65"/>
  <c r="AG15" i="65"/>
  <c r="BT15" i="65"/>
  <c r="AV15" i="65"/>
  <c r="AN15" i="65"/>
  <c r="CW15" i="65"/>
  <c r="BS15" i="65"/>
  <c r="BK15" i="65"/>
  <c r="AU15" i="65"/>
  <c r="AM15" i="65"/>
  <c r="CT15" i="65"/>
  <c r="BZ15" i="65"/>
  <c r="BR15" i="65"/>
  <c r="BJ15" i="65"/>
  <c r="AT15" i="65"/>
  <c r="AL15" i="65"/>
  <c r="CS15" i="65"/>
  <c r="BY15" i="65"/>
  <c r="BQ15" i="65"/>
  <c r="BI15" i="65"/>
  <c r="AS15" i="65"/>
  <c r="AK15" i="65"/>
  <c r="D15" i="65"/>
  <c r="P9" i="23" s="1"/>
  <c r="T9" i="24" s="1"/>
  <c r="CR15" i="65"/>
  <c r="CH15" i="65"/>
  <c r="BX15" i="65"/>
  <c r="BP15" i="65"/>
  <c r="BH15" i="65"/>
  <c r="AZ15" i="65"/>
  <c r="AR15" i="65"/>
  <c r="AJ15" i="65"/>
  <c r="BW15" i="65"/>
  <c r="BO15" i="65"/>
  <c r="AY15" i="65"/>
  <c r="AQ15" i="65"/>
  <c r="AI15" i="65"/>
  <c r="CP15" i="65"/>
  <c r="BV15" i="65"/>
  <c r="BN15" i="65"/>
  <c r="AX15" i="65"/>
  <c r="AP15" i="65"/>
  <c r="AH15" i="65"/>
  <c r="CA14" i="65"/>
  <c r="O14" i="65" s="1"/>
  <c r="O13" i="65"/>
  <c r="Q13" i="65" s="1"/>
  <c r="BB14" i="64"/>
  <c r="BA14" i="64"/>
  <c r="CT15" i="64"/>
  <c r="CD15" i="64"/>
  <c r="BV15" i="64"/>
  <c r="BN15" i="64"/>
  <c r="AX15" i="64"/>
  <c r="AP15" i="64"/>
  <c r="AH15" i="64"/>
  <c r="CS15" i="64"/>
  <c r="BU15" i="64"/>
  <c r="BM15" i="64"/>
  <c r="AW15" i="64"/>
  <c r="AO15" i="64"/>
  <c r="AG15" i="64"/>
  <c r="CR15" i="64"/>
  <c r="CV15" i="64"/>
  <c r="BZ15" i="64"/>
  <c r="BP15" i="64"/>
  <c r="AV15" i="64"/>
  <c r="AL15" i="64"/>
  <c r="CU15" i="64"/>
  <c r="BY15" i="64"/>
  <c r="BO15" i="64"/>
  <c r="AU15" i="64"/>
  <c r="AK15" i="64"/>
  <c r="BX15" i="64"/>
  <c r="BL15" i="64"/>
  <c r="AT15" i="64"/>
  <c r="AJ15" i="64"/>
  <c r="CP15" i="64"/>
  <c r="CF15" i="64"/>
  <c r="BW15" i="64"/>
  <c r="AS15" i="64"/>
  <c r="AI15" i="64"/>
  <c r="CO15" i="64"/>
  <c r="CE15" i="64"/>
  <c r="BT15" i="64"/>
  <c r="BJ15" i="64"/>
  <c r="AR15" i="64"/>
  <c r="CN15" i="64"/>
  <c r="BS15" i="64"/>
  <c r="BI15" i="64"/>
  <c r="AQ15" i="64"/>
  <c r="D15" i="64"/>
  <c r="L9" i="23" s="1"/>
  <c r="O9" i="24" s="1"/>
  <c r="BR15" i="64"/>
  <c r="BH15" i="64"/>
  <c r="AZ15" i="64"/>
  <c r="AN15" i="64"/>
  <c r="CW15" i="64"/>
  <c r="BQ15" i="64"/>
  <c r="BG15" i="64"/>
  <c r="AY15" i="64"/>
  <c r="AM15" i="64"/>
  <c r="B16" i="64"/>
  <c r="J10" i="23" s="1"/>
  <c r="L10" i="24" s="1"/>
  <c r="A17" i="64"/>
  <c r="I11" i="23" s="1"/>
  <c r="K11" i="24" s="1"/>
  <c r="CW15" i="63"/>
  <c r="CO15" i="63"/>
  <c r="BY15" i="63"/>
  <c r="BQ15" i="63"/>
  <c r="AS15" i="63"/>
  <c r="CV15" i="63"/>
  <c r="CN15" i="63"/>
  <c r="BX15" i="63"/>
  <c r="BP15" i="63"/>
  <c r="BH15" i="63"/>
  <c r="AZ15" i="63"/>
  <c r="AR15" i="63"/>
  <c r="AJ15" i="63"/>
  <c r="BR15" i="63"/>
  <c r="AV15" i="63"/>
  <c r="AL15" i="63"/>
  <c r="D15" i="63"/>
  <c r="H9" i="23" s="1"/>
  <c r="J9" i="24" s="1"/>
  <c r="CU15" i="63"/>
  <c r="BO15" i="63"/>
  <c r="AU15" i="63"/>
  <c r="AK15" i="63"/>
  <c r="CT15" i="63"/>
  <c r="BZ15" i="63"/>
  <c r="BN15" i="63"/>
  <c r="AT15" i="63"/>
  <c r="AI15" i="63"/>
  <c r="CS15" i="63"/>
  <c r="BW15" i="63"/>
  <c r="BM15" i="63"/>
  <c r="AQ15" i="63"/>
  <c r="AH15" i="63"/>
  <c r="CR15" i="63"/>
  <c r="CH15" i="63"/>
  <c r="BV15" i="63"/>
  <c r="BL15" i="63"/>
  <c r="AP15" i="63"/>
  <c r="AG15" i="63"/>
  <c r="CE15" i="63"/>
  <c r="BU15" i="63"/>
  <c r="BK15" i="63"/>
  <c r="AY15" i="63"/>
  <c r="AO15" i="63"/>
  <c r="CP15" i="63"/>
  <c r="CD15" i="63"/>
  <c r="BT15" i="63"/>
  <c r="BJ15" i="63"/>
  <c r="AX15" i="63"/>
  <c r="AN15" i="63"/>
  <c r="BS15" i="63"/>
  <c r="BG15" i="63"/>
  <c r="AW15" i="63"/>
  <c r="AM15" i="63"/>
  <c r="A17" i="63"/>
  <c r="E11" i="23" s="1"/>
  <c r="F11" i="24" s="1"/>
  <c r="B16" i="63"/>
  <c r="F10" i="23" s="1"/>
  <c r="G10" i="24" s="1"/>
  <c r="N13" i="63"/>
  <c r="BB14" i="63"/>
  <c r="BA14" i="63"/>
  <c r="N14" i="63" s="1"/>
  <c r="BB14" i="70" l="1"/>
  <c r="BA14" i="70"/>
  <c r="N14" i="70" s="1"/>
  <c r="AJ8" i="23"/>
  <c r="O8" i="25"/>
  <c r="CA14" i="70"/>
  <c r="O14" i="70" s="1"/>
  <c r="AG10" i="23"/>
  <c r="K10" i="25" s="1"/>
  <c r="A17" i="70"/>
  <c r="B16" i="70"/>
  <c r="AH9" i="23"/>
  <c r="L9" i="25" s="1"/>
  <c r="CL15" i="70"/>
  <c r="AS15" i="70"/>
  <c r="BH15" i="70"/>
  <c r="CT15" i="70"/>
  <c r="AQ15" i="70"/>
  <c r="BU15" i="70"/>
  <c r="AX15" i="70"/>
  <c r="AL15" i="70"/>
  <c r="CQ15" i="70"/>
  <c r="AK15" i="70"/>
  <c r="AZ15" i="70"/>
  <c r="BZ15" i="70"/>
  <c r="AG15" i="70"/>
  <c r="BK15" i="70"/>
  <c r="AN15" i="70"/>
  <c r="BG15" i="70"/>
  <c r="CM15" i="70"/>
  <c r="D15" i="70"/>
  <c r="AR15" i="70"/>
  <c r="BN15" i="70"/>
  <c r="CR15" i="70"/>
  <c r="AY15" i="70"/>
  <c r="BS15" i="70"/>
  <c r="CJ15" i="70"/>
  <c r="CW15" i="70"/>
  <c r="CV15" i="70"/>
  <c r="AJ15" i="70"/>
  <c r="AT15" i="70"/>
  <c r="CH15" i="70"/>
  <c r="AO15" i="70"/>
  <c r="CO15" i="70"/>
  <c r="CN15" i="70"/>
  <c r="CU15" i="70"/>
  <c r="AH15" i="70"/>
  <c r="BV15" i="70"/>
  <c r="CP15" i="70"/>
  <c r="AW15" i="70"/>
  <c r="CI15" i="70"/>
  <c r="BY15" i="70"/>
  <c r="CF15" i="70"/>
  <c r="BO15" i="70"/>
  <c r="CS15" i="70"/>
  <c r="BL15" i="70"/>
  <c r="CD15" i="70"/>
  <c r="AM15" i="70"/>
  <c r="CK15" i="70"/>
  <c r="BQ15" i="70"/>
  <c r="BX15" i="70"/>
  <c r="AU15" i="70"/>
  <c r="BW15" i="70"/>
  <c r="AP15" i="70"/>
  <c r="BT15" i="70"/>
  <c r="BR15" i="70"/>
  <c r="AV15" i="70"/>
  <c r="CG15" i="70"/>
  <c r="BI15" i="70"/>
  <c r="BP15" i="70"/>
  <c r="AI15" i="70"/>
  <c r="BM15" i="70"/>
  <c r="CE15" i="70"/>
  <c r="BJ15" i="70"/>
  <c r="CX14" i="70"/>
  <c r="P14" i="70" s="1"/>
  <c r="AD9" i="25"/>
  <c r="AV9" i="23"/>
  <c r="Y13" i="68"/>
  <c r="V9" i="23"/>
  <c r="AA9" i="24" s="1"/>
  <c r="CQ15" i="67"/>
  <c r="AL15" i="67"/>
  <c r="D15" i="67"/>
  <c r="X9" i="23" s="1"/>
  <c r="AD9" i="24" s="1"/>
  <c r="AR15" i="67"/>
  <c r="AQ15" i="67"/>
  <c r="AH15" i="67"/>
  <c r="BT15" i="67"/>
  <c r="CS15" i="67"/>
  <c r="CN15" i="67"/>
  <c r="BU15" i="67"/>
  <c r="CF15" i="67"/>
  <c r="BS15" i="67"/>
  <c r="BK15" i="67"/>
  <c r="AS15" i="67"/>
  <c r="AP15" i="67"/>
  <c r="CL15" i="67"/>
  <c r="CW15" i="67"/>
  <c r="CV15" i="67"/>
  <c r="AJ15" i="67"/>
  <c r="AI15" i="67"/>
  <c r="BL15" i="67"/>
  <c r="CT15" i="67"/>
  <c r="CH15" i="67"/>
  <c r="CD15" i="67"/>
  <c r="BO15" i="67"/>
  <c r="BH15" i="67"/>
  <c r="CR15" i="67"/>
  <c r="CJ15" i="67"/>
  <c r="CP15" i="67"/>
  <c r="CO15" i="67"/>
  <c r="CU15" i="67"/>
  <c r="AV15" i="67"/>
  <c r="CE15" i="67"/>
  <c r="AN15" i="67"/>
  <c r="BZ15" i="67"/>
  <c r="BX15" i="67"/>
  <c r="AW15" i="67"/>
  <c r="AO15" i="67"/>
  <c r="BG15" i="67"/>
  <c r="AT15" i="67"/>
  <c r="AY15" i="67"/>
  <c r="CK15" i="67"/>
  <c r="BY15" i="67"/>
  <c r="BM15" i="67"/>
  <c r="BQ15" i="67"/>
  <c r="BV15" i="67"/>
  <c r="BI15" i="67"/>
  <c r="AG15" i="67"/>
  <c r="AZ15" i="67"/>
  <c r="CM15" i="67"/>
  <c r="BW15" i="67"/>
  <c r="BP15" i="67"/>
  <c r="AX15" i="67"/>
  <c r="AK15" i="67"/>
  <c r="CG15" i="67"/>
  <c r="BR15" i="67"/>
  <c r="BN15" i="67"/>
  <c r="AU15" i="67"/>
  <c r="CI15" i="67"/>
  <c r="AM15" i="67"/>
  <c r="BJ15" i="67"/>
  <c r="T9" i="25"/>
  <c r="AN9" i="23"/>
  <c r="Y8" i="25"/>
  <c r="AR8" i="23"/>
  <c r="U10" i="23"/>
  <c r="Z10" i="24" s="1"/>
  <c r="A17" i="67"/>
  <c r="B16" i="67"/>
  <c r="AF9" i="23"/>
  <c r="J9" i="25"/>
  <c r="BB14" i="67"/>
  <c r="BA14" i="67"/>
  <c r="N14" i="67" s="1"/>
  <c r="BB14" i="66"/>
  <c r="BA14" i="66"/>
  <c r="N14" i="66" s="1"/>
  <c r="R9" i="23"/>
  <c r="V9" i="24" s="1"/>
  <c r="BU15" i="66"/>
  <c r="AV15" i="66"/>
  <c r="BZ15" i="66"/>
  <c r="BG15" i="66"/>
  <c r="BQ15" i="66"/>
  <c r="AP15" i="66"/>
  <c r="AY15" i="66"/>
  <c r="AZ15" i="66"/>
  <c r="CI15" i="66"/>
  <c r="BM15" i="66"/>
  <c r="AN15" i="66"/>
  <c r="BR15" i="66"/>
  <c r="AX15" i="66"/>
  <c r="AR15" i="66"/>
  <c r="CO15" i="66"/>
  <c r="AI15" i="66"/>
  <c r="CJ15" i="66"/>
  <c r="AW15" i="66"/>
  <c r="BS15" i="66"/>
  <c r="BJ15" i="66"/>
  <c r="AH15" i="66"/>
  <c r="CU15" i="66"/>
  <c r="AK15" i="66"/>
  <c r="CK15" i="66"/>
  <c r="AO15" i="66"/>
  <c r="BK15" i="66"/>
  <c r="AT15" i="66"/>
  <c r="D15" i="66"/>
  <c r="T9" i="23" s="1"/>
  <c r="Y9" i="24" s="1"/>
  <c r="CD15" i="66"/>
  <c r="BY15" i="66"/>
  <c r="CM15" i="66"/>
  <c r="AG15" i="66"/>
  <c r="AU15" i="66"/>
  <c r="AL15" i="66"/>
  <c r="BV15" i="66"/>
  <c r="BP15" i="66"/>
  <c r="CQ15" i="66"/>
  <c r="CR15" i="66"/>
  <c r="AM15" i="66"/>
  <c r="CV15" i="66"/>
  <c r="AS15" i="66"/>
  <c r="AQ15" i="66"/>
  <c r="AJ15" i="66"/>
  <c r="BH15" i="66"/>
  <c r="BT15" i="66"/>
  <c r="CP15" i="66"/>
  <c r="CN15" i="66"/>
  <c r="CW15" i="66"/>
  <c r="CT15" i="66"/>
  <c r="BX15" i="66"/>
  <c r="BO15" i="66"/>
  <c r="CS15" i="66"/>
  <c r="BL15" i="66"/>
  <c r="CH15" i="66"/>
  <c r="BW15" i="66"/>
  <c r="CE15" i="66"/>
  <c r="Q10" i="23"/>
  <c r="U10" i="24" s="1"/>
  <c r="B16" i="66"/>
  <c r="A17" i="66"/>
  <c r="V46" i="69"/>
  <c r="V53" i="69" s="1"/>
  <c r="V44" i="70" s="1"/>
  <c r="CI16" i="69"/>
  <c r="CJ16" i="69"/>
  <c r="CK16" i="69"/>
  <c r="CL16" i="69"/>
  <c r="CM16" i="69"/>
  <c r="CG16" i="69"/>
  <c r="CQ16" i="69"/>
  <c r="CJ15" i="72"/>
  <c r="CK15" i="72"/>
  <c r="CG15" i="72"/>
  <c r="CL15" i="72"/>
  <c r="CQ15" i="72"/>
  <c r="CM15" i="72"/>
  <c r="CI15" i="72"/>
  <c r="CQ16" i="73"/>
  <c r="CJ16" i="73"/>
  <c r="CK16" i="73"/>
  <c r="CL16" i="73"/>
  <c r="CG16" i="73"/>
  <c r="CI16" i="73"/>
  <c r="CM16" i="73"/>
  <c r="CI16" i="68"/>
  <c r="CQ16" i="68"/>
  <c r="CJ16" i="68"/>
  <c r="CK16" i="68"/>
  <c r="CM16" i="68"/>
  <c r="CQ16" i="71"/>
  <c r="CJ16" i="71"/>
  <c r="CK16" i="71"/>
  <c r="CI16" i="71"/>
  <c r="CL16" i="71"/>
  <c r="CM16" i="71"/>
  <c r="CG16" i="71"/>
  <c r="CI16" i="65"/>
  <c r="CQ16" i="65"/>
  <c r="CJ16" i="65"/>
  <c r="CL16" i="65"/>
  <c r="CM16" i="65"/>
  <c r="CG16" i="65"/>
  <c r="CI16" i="64"/>
  <c r="CL16" i="64"/>
  <c r="CM16" i="64"/>
  <c r="CQ16" i="64"/>
  <c r="CJ16" i="64"/>
  <c r="CK16" i="64"/>
  <c r="CG16" i="64"/>
  <c r="CI16" i="63"/>
  <c r="CJ16" i="63"/>
  <c r="CK16" i="63"/>
  <c r="CL16" i="63"/>
  <c r="CM16" i="63"/>
  <c r="CQ16" i="63"/>
  <c r="CX15" i="73"/>
  <c r="P15" i="73" s="1"/>
  <c r="Q14" i="73"/>
  <c r="CA15" i="73"/>
  <c r="O15" i="73" s="1"/>
  <c r="BB15" i="73"/>
  <c r="BA15" i="73"/>
  <c r="CT16" i="73"/>
  <c r="CD16" i="73"/>
  <c r="BV16" i="73"/>
  <c r="BN16" i="73"/>
  <c r="AX16" i="73"/>
  <c r="AP16" i="73"/>
  <c r="AH16" i="73"/>
  <c r="CS16" i="73"/>
  <c r="BU16" i="73"/>
  <c r="BM16" i="73"/>
  <c r="AW16" i="73"/>
  <c r="AO16" i="73"/>
  <c r="AG16" i="73"/>
  <c r="CR16" i="73"/>
  <c r="BT16" i="73"/>
  <c r="BL16" i="73"/>
  <c r="AV16" i="73"/>
  <c r="AN16" i="73"/>
  <c r="BS16" i="73"/>
  <c r="BK16" i="73"/>
  <c r="AU16" i="73"/>
  <c r="AM16" i="73"/>
  <c r="CP16" i="73"/>
  <c r="CH16" i="73"/>
  <c r="BZ16" i="73"/>
  <c r="BR16" i="73"/>
  <c r="BJ16" i="73"/>
  <c r="AT16" i="73"/>
  <c r="AL16" i="73"/>
  <c r="CW16" i="73"/>
  <c r="CO16" i="73"/>
  <c r="BY16" i="73"/>
  <c r="BQ16" i="73"/>
  <c r="BI16" i="73"/>
  <c r="AS16" i="73"/>
  <c r="AK16" i="73"/>
  <c r="D16" i="73"/>
  <c r="CV16" i="73"/>
  <c r="CN16" i="73"/>
  <c r="CF16" i="73"/>
  <c r="BX16" i="73"/>
  <c r="BP16" i="73"/>
  <c r="BH16" i="73"/>
  <c r="AZ16" i="73"/>
  <c r="AR16" i="73"/>
  <c r="AJ16" i="73"/>
  <c r="CU16" i="73"/>
  <c r="CE16" i="73"/>
  <c r="BW16" i="73"/>
  <c r="BO16" i="73"/>
  <c r="BG16" i="73"/>
  <c r="AY16" i="73"/>
  <c r="AQ16" i="73"/>
  <c r="AI16" i="73"/>
  <c r="B17" i="73"/>
  <c r="AT11" i="23" s="1"/>
  <c r="AA11" i="25" s="1"/>
  <c r="A18" i="73"/>
  <c r="AS12" i="23" s="1"/>
  <c r="Z12" i="25" s="1"/>
  <c r="CT15" i="72"/>
  <c r="CD15" i="72"/>
  <c r="BV15" i="72"/>
  <c r="BN15" i="72"/>
  <c r="AX15" i="72"/>
  <c r="AP15" i="72"/>
  <c r="AH15" i="72"/>
  <c r="CR15" i="72"/>
  <c r="BT15" i="72"/>
  <c r="BL15" i="72"/>
  <c r="AV15" i="72"/>
  <c r="AN15" i="72"/>
  <c r="CP15" i="72"/>
  <c r="BZ15" i="72"/>
  <c r="BR15" i="72"/>
  <c r="BJ15" i="72"/>
  <c r="AT15" i="72"/>
  <c r="AL15" i="72"/>
  <c r="CO15" i="72"/>
  <c r="BY15" i="72"/>
  <c r="BQ15" i="72"/>
  <c r="AS15" i="72"/>
  <c r="AK15" i="72"/>
  <c r="D15" i="72"/>
  <c r="CV15" i="72"/>
  <c r="CN15" i="72"/>
  <c r="BP15" i="72"/>
  <c r="BH15" i="72"/>
  <c r="AZ15" i="72"/>
  <c r="AR15" i="72"/>
  <c r="AJ15" i="72"/>
  <c r="CE15" i="72"/>
  <c r="BW15" i="72"/>
  <c r="BO15" i="72"/>
  <c r="BG15" i="72"/>
  <c r="AY15" i="72"/>
  <c r="AQ15" i="72"/>
  <c r="AI15" i="72"/>
  <c r="BU15" i="72"/>
  <c r="AW15" i="72"/>
  <c r="CS15" i="72"/>
  <c r="BS15" i="72"/>
  <c r="AU15" i="72"/>
  <c r="BM15" i="72"/>
  <c r="AO15" i="72"/>
  <c r="BK15" i="72"/>
  <c r="AM15" i="72"/>
  <c r="AG15" i="72"/>
  <c r="A17" i="72"/>
  <c r="AO11" i="23" s="1"/>
  <c r="U11" i="25" s="1"/>
  <c r="B16" i="72"/>
  <c r="AP10" i="23" s="1"/>
  <c r="V10" i="25" s="1"/>
  <c r="BB14" i="72"/>
  <c r="BA14" i="72"/>
  <c r="O13" i="72"/>
  <c r="CA15" i="71"/>
  <c r="N14" i="71"/>
  <c r="BB15" i="71"/>
  <c r="BA15" i="71"/>
  <c r="N15" i="71" s="1"/>
  <c r="CR16" i="71"/>
  <c r="BT16" i="71"/>
  <c r="BL16" i="71"/>
  <c r="AV16" i="71"/>
  <c r="AN16" i="71"/>
  <c r="BS16" i="71"/>
  <c r="BK16" i="71"/>
  <c r="AU16" i="71"/>
  <c r="AM16" i="71"/>
  <c r="CW16" i="71"/>
  <c r="BR16" i="71"/>
  <c r="BH16" i="71"/>
  <c r="AZ16" i="71"/>
  <c r="AP16" i="71"/>
  <c r="CV16" i="71"/>
  <c r="AY16" i="71"/>
  <c r="AO16" i="71"/>
  <c r="D16" i="71"/>
  <c r="CU16" i="71"/>
  <c r="BZ16" i="71"/>
  <c r="BP16" i="71"/>
  <c r="AX16" i="71"/>
  <c r="AL16" i="71"/>
  <c r="CT16" i="71"/>
  <c r="CH16" i="71"/>
  <c r="BY16" i="71"/>
  <c r="BO16" i="71"/>
  <c r="AW16" i="71"/>
  <c r="AK16" i="71"/>
  <c r="BX16" i="71"/>
  <c r="BN16" i="71"/>
  <c r="AT16" i="71"/>
  <c r="AJ16" i="71"/>
  <c r="BW16" i="71"/>
  <c r="BM16" i="71"/>
  <c r="AS16" i="71"/>
  <c r="AI16" i="71"/>
  <c r="CO16" i="71"/>
  <c r="CE16" i="71"/>
  <c r="BJ16" i="71"/>
  <c r="AR16" i="71"/>
  <c r="AH16" i="71"/>
  <c r="BU16" i="71"/>
  <c r="BI16" i="71"/>
  <c r="AQ16" i="71"/>
  <c r="AG16" i="71"/>
  <c r="A18" i="71"/>
  <c r="AK12" i="23" s="1"/>
  <c r="P12" i="25" s="1"/>
  <c r="B17" i="71"/>
  <c r="AL11" i="23" s="1"/>
  <c r="Q11" i="25" s="1"/>
  <c r="CW16" i="69"/>
  <c r="CO16" i="69"/>
  <c r="BY16" i="69"/>
  <c r="BQ16" i="69"/>
  <c r="AS16" i="69"/>
  <c r="AK16" i="69"/>
  <c r="D16" i="69"/>
  <c r="CU16" i="69"/>
  <c r="CE16" i="69"/>
  <c r="BW16" i="69"/>
  <c r="BO16" i="69"/>
  <c r="BG16" i="69"/>
  <c r="AY16" i="69"/>
  <c r="AQ16" i="69"/>
  <c r="AI16" i="69"/>
  <c r="CT16" i="69"/>
  <c r="CD16" i="69"/>
  <c r="BV16" i="69"/>
  <c r="BX16" i="69"/>
  <c r="BK16" i="69"/>
  <c r="AZ16" i="69"/>
  <c r="AO16" i="69"/>
  <c r="CV16" i="69"/>
  <c r="BU16" i="69"/>
  <c r="BJ16" i="69"/>
  <c r="AX16" i="69"/>
  <c r="AN16" i="69"/>
  <c r="CS16" i="69"/>
  <c r="BT16" i="69"/>
  <c r="BH16" i="69"/>
  <c r="AW16" i="69"/>
  <c r="AM16" i="69"/>
  <c r="AV16" i="69"/>
  <c r="AL16" i="69"/>
  <c r="BR16" i="69"/>
  <c r="AU16" i="69"/>
  <c r="AJ16" i="69"/>
  <c r="BP16" i="69"/>
  <c r="AT16" i="69"/>
  <c r="AH16" i="69"/>
  <c r="CN16" i="69"/>
  <c r="BM16" i="69"/>
  <c r="AR16" i="69"/>
  <c r="AG16" i="69"/>
  <c r="AP16" i="69"/>
  <c r="BZ16" i="69"/>
  <c r="BL16" i="69"/>
  <c r="A18" i="69"/>
  <c r="AC12" i="23" s="1"/>
  <c r="F12" i="25" s="1"/>
  <c r="B17" i="69"/>
  <c r="AD11" i="23" s="1"/>
  <c r="G11" i="25" s="1"/>
  <c r="BB15" i="69"/>
  <c r="BA15" i="69"/>
  <c r="N15" i="69" s="1"/>
  <c r="A18" i="68"/>
  <c r="Y12" i="23" s="1"/>
  <c r="A12" i="25" s="1"/>
  <c r="B17" i="68"/>
  <c r="Z11" i="23" s="1"/>
  <c r="B11" i="25" s="1"/>
  <c r="CV16" i="68"/>
  <c r="CN16" i="68"/>
  <c r="BX16" i="68"/>
  <c r="BP16" i="68"/>
  <c r="BH16" i="68"/>
  <c r="AZ16" i="68"/>
  <c r="AR16" i="68"/>
  <c r="AJ16" i="68"/>
  <c r="CU16" i="68"/>
  <c r="CE16" i="68"/>
  <c r="BW16" i="68"/>
  <c r="BO16" i="68"/>
  <c r="BG16" i="68"/>
  <c r="AY16" i="68"/>
  <c r="AQ16" i="68"/>
  <c r="AI16" i="68"/>
  <c r="BR16" i="68"/>
  <c r="AV16" i="68"/>
  <c r="AL16" i="68"/>
  <c r="CW16" i="68"/>
  <c r="BQ16" i="68"/>
  <c r="AU16" i="68"/>
  <c r="AK16" i="68"/>
  <c r="BY16" i="68"/>
  <c r="BK16" i="68"/>
  <c r="AM16" i="68"/>
  <c r="BV16" i="68"/>
  <c r="BJ16" i="68"/>
  <c r="AX16" i="68"/>
  <c r="AH16" i="68"/>
  <c r="CT16" i="68"/>
  <c r="CH16" i="68"/>
  <c r="BU16" i="68"/>
  <c r="AW16" i="68"/>
  <c r="AG16" i="68"/>
  <c r="CS16" i="68"/>
  <c r="BT16" i="68"/>
  <c r="AT16" i="68"/>
  <c r="CR16" i="68"/>
  <c r="CD16" i="68"/>
  <c r="AS16" i="68"/>
  <c r="AP16" i="68"/>
  <c r="BM16" i="68"/>
  <c r="AO16" i="68"/>
  <c r="D16" i="68"/>
  <c r="AB10" i="23" s="1"/>
  <c r="E10" i="25" s="1"/>
  <c r="CO16" i="68"/>
  <c r="BZ16" i="68"/>
  <c r="BL16" i="68"/>
  <c r="AN16" i="68"/>
  <c r="BB15" i="68"/>
  <c r="BA15" i="68"/>
  <c r="N15" i="68" s="1"/>
  <c r="BS16" i="65"/>
  <c r="BK16" i="65"/>
  <c r="AU16" i="65"/>
  <c r="AM16" i="65"/>
  <c r="CP16" i="65"/>
  <c r="CH16" i="65"/>
  <c r="BZ16" i="65"/>
  <c r="BR16" i="65"/>
  <c r="BJ16" i="65"/>
  <c r="AT16" i="65"/>
  <c r="AL16" i="65"/>
  <c r="CU16" i="65"/>
  <c r="BY16" i="65"/>
  <c r="BO16" i="65"/>
  <c r="AV16" i="65"/>
  <c r="AJ16" i="65"/>
  <c r="CT16" i="65"/>
  <c r="BX16" i="65"/>
  <c r="BN16" i="65"/>
  <c r="AS16" i="65"/>
  <c r="AI16" i="65"/>
  <c r="CS16" i="65"/>
  <c r="BW16" i="65"/>
  <c r="AR16" i="65"/>
  <c r="AH16" i="65"/>
  <c r="CR16" i="65"/>
  <c r="BV16" i="65"/>
  <c r="BL16" i="65"/>
  <c r="AQ16" i="65"/>
  <c r="AG16" i="65"/>
  <c r="CO16" i="65"/>
  <c r="BU16" i="65"/>
  <c r="BI16" i="65"/>
  <c r="AZ16" i="65"/>
  <c r="AP16" i="65"/>
  <c r="CN16" i="65"/>
  <c r="CD16" i="65"/>
  <c r="BT16" i="65"/>
  <c r="AY16" i="65"/>
  <c r="AO16" i="65"/>
  <c r="D16" i="65"/>
  <c r="P10" i="23" s="1"/>
  <c r="T10" i="24" s="1"/>
  <c r="CW16" i="65"/>
  <c r="BQ16" i="65"/>
  <c r="BG16" i="65"/>
  <c r="AX16" i="65"/>
  <c r="AN16" i="65"/>
  <c r="CV16" i="65"/>
  <c r="BP16" i="65"/>
  <c r="AW16" i="65"/>
  <c r="AK16" i="65"/>
  <c r="B17" i="65"/>
  <c r="N11" i="23" s="1"/>
  <c r="Q11" i="24" s="1"/>
  <c r="A18" i="65"/>
  <c r="M12" i="23" s="1"/>
  <c r="P12" i="24" s="1"/>
  <c r="N14" i="65"/>
  <c r="BB15" i="65"/>
  <c r="BA15" i="65"/>
  <c r="N15" i="65" s="1"/>
  <c r="A18" i="64"/>
  <c r="I12" i="23" s="1"/>
  <c r="K12" i="24" s="1"/>
  <c r="B17" i="64"/>
  <c r="J11" i="23" s="1"/>
  <c r="L11" i="24" s="1"/>
  <c r="CP16" i="64"/>
  <c r="CH16" i="64"/>
  <c r="BZ16" i="64"/>
  <c r="BR16" i="64"/>
  <c r="BJ16" i="64"/>
  <c r="AT16" i="64"/>
  <c r="AL16" i="64"/>
  <c r="CW16" i="64"/>
  <c r="CO16" i="64"/>
  <c r="BY16" i="64"/>
  <c r="BQ16" i="64"/>
  <c r="BI16" i="64"/>
  <c r="AS16" i="64"/>
  <c r="AK16" i="64"/>
  <c r="D16" i="64"/>
  <c r="L10" i="23" s="1"/>
  <c r="O10" i="24" s="1"/>
  <c r="CV16" i="64"/>
  <c r="CN16" i="64"/>
  <c r="CF16" i="64"/>
  <c r="BX16" i="64"/>
  <c r="BP16" i="64"/>
  <c r="BH16" i="64"/>
  <c r="AZ16" i="64"/>
  <c r="AR16" i="64"/>
  <c r="AJ16" i="64"/>
  <c r="CU16" i="64"/>
  <c r="CE16" i="64"/>
  <c r="BW16" i="64"/>
  <c r="BO16" i="64"/>
  <c r="BG16" i="64"/>
  <c r="AY16" i="64"/>
  <c r="AQ16" i="64"/>
  <c r="AI16" i="64"/>
  <c r="BS16" i="64"/>
  <c r="AM16" i="64"/>
  <c r="CT16" i="64"/>
  <c r="CD16" i="64"/>
  <c r="BN16" i="64"/>
  <c r="AX16" i="64"/>
  <c r="AH16" i="64"/>
  <c r="CS16" i="64"/>
  <c r="BM16" i="64"/>
  <c r="AW16" i="64"/>
  <c r="AG16" i="64"/>
  <c r="CR16" i="64"/>
  <c r="BL16" i="64"/>
  <c r="AV16" i="64"/>
  <c r="BK16" i="64"/>
  <c r="AU16" i="64"/>
  <c r="BV16" i="64"/>
  <c r="AP16" i="64"/>
  <c r="BU16" i="64"/>
  <c r="AO16" i="64"/>
  <c r="BT16" i="64"/>
  <c r="AN16" i="64"/>
  <c r="BB15" i="64"/>
  <c r="BA15" i="64"/>
  <c r="N15" i="64" s="1"/>
  <c r="N14" i="64"/>
  <c r="CR16" i="63"/>
  <c r="BT16" i="63"/>
  <c r="BL16" i="63"/>
  <c r="AV16" i="63"/>
  <c r="AN16" i="63"/>
  <c r="BS16" i="63"/>
  <c r="BK16" i="63"/>
  <c r="AU16" i="63"/>
  <c r="AM16" i="63"/>
  <c r="CP16" i="63"/>
  <c r="CF16" i="63"/>
  <c r="BW16" i="63"/>
  <c r="BM16" i="63"/>
  <c r="AS16" i="63"/>
  <c r="AI16" i="63"/>
  <c r="CO16" i="63"/>
  <c r="CE16" i="63"/>
  <c r="BV16" i="63"/>
  <c r="AR16" i="63"/>
  <c r="AH16" i="63"/>
  <c r="CN16" i="63"/>
  <c r="CD16" i="63"/>
  <c r="BU16" i="63"/>
  <c r="BI16" i="63"/>
  <c r="AQ16" i="63"/>
  <c r="AG16" i="63"/>
  <c r="CW16" i="63"/>
  <c r="BR16" i="63"/>
  <c r="BH16" i="63"/>
  <c r="AZ16" i="63"/>
  <c r="AP16" i="63"/>
  <c r="CV16" i="63"/>
  <c r="BQ16" i="63"/>
  <c r="BG16" i="63"/>
  <c r="AY16" i="63"/>
  <c r="AO16" i="63"/>
  <c r="D16" i="63"/>
  <c r="H10" i="23" s="1"/>
  <c r="J10" i="24" s="1"/>
  <c r="CU16" i="63"/>
  <c r="BZ16" i="63"/>
  <c r="BP16" i="63"/>
  <c r="AX16" i="63"/>
  <c r="AL16" i="63"/>
  <c r="CT16" i="63"/>
  <c r="BY16" i="63"/>
  <c r="BO16" i="63"/>
  <c r="AW16" i="63"/>
  <c r="AK16" i="63"/>
  <c r="CS16" i="63"/>
  <c r="BX16" i="63"/>
  <c r="BN16" i="63"/>
  <c r="AT16" i="63"/>
  <c r="AJ16" i="63"/>
  <c r="B17" i="63"/>
  <c r="F11" i="23" s="1"/>
  <c r="G11" i="24" s="1"/>
  <c r="A18" i="63"/>
  <c r="E12" i="23" s="1"/>
  <c r="F12" i="24" s="1"/>
  <c r="BB15" i="63"/>
  <c r="BA15" i="63"/>
  <c r="AH10" i="23" l="1"/>
  <c r="L10" i="25" s="1"/>
  <c r="CI16" i="70"/>
  <c r="BT16" i="70"/>
  <c r="CV16" i="70"/>
  <c r="AR16" i="70"/>
  <c r="CT16" i="70"/>
  <c r="BG16" i="70"/>
  <c r="CO16" i="70"/>
  <c r="BN16" i="70"/>
  <c r="CG16" i="70"/>
  <c r="BL16" i="70"/>
  <c r="CF16" i="70"/>
  <c r="AH16" i="70"/>
  <c r="BV16" i="70"/>
  <c r="AY16" i="70"/>
  <c r="BQ16" i="70"/>
  <c r="AS16" i="70"/>
  <c r="CQ16" i="70"/>
  <c r="AV16" i="70"/>
  <c r="BX16" i="70"/>
  <c r="CU16" i="70"/>
  <c r="BI16" i="70"/>
  <c r="AO16" i="70"/>
  <c r="AW16" i="70"/>
  <c r="AI16" i="70"/>
  <c r="CJ16" i="70"/>
  <c r="AN16" i="70"/>
  <c r="BP16" i="70"/>
  <c r="CH16" i="70"/>
  <c r="AZ16" i="70"/>
  <c r="D16" i="70"/>
  <c r="AK16" i="70"/>
  <c r="CK16" i="70"/>
  <c r="BS16" i="70"/>
  <c r="BH16" i="70"/>
  <c r="BW16" i="70"/>
  <c r="AP16" i="70"/>
  <c r="CP16" i="70"/>
  <c r="BO16" i="70"/>
  <c r="CL16" i="70"/>
  <c r="BK16" i="70"/>
  <c r="CW16" i="70"/>
  <c r="BJ16" i="70"/>
  <c r="CS16" i="70"/>
  <c r="BR16" i="70"/>
  <c r="AT16" i="70"/>
  <c r="CM16" i="70"/>
  <c r="AU16" i="70"/>
  <c r="BY16" i="70"/>
  <c r="AQ16" i="70"/>
  <c r="CE16" i="70"/>
  <c r="AX16" i="70"/>
  <c r="AJ16" i="70"/>
  <c r="AL16" i="70"/>
  <c r="CR16" i="70"/>
  <c r="AM16" i="70"/>
  <c r="BM16" i="70"/>
  <c r="AG16" i="70"/>
  <c r="BU16" i="70"/>
  <c r="BZ16" i="70"/>
  <c r="AG11" i="23"/>
  <c r="K11" i="25" s="1"/>
  <c r="A18" i="70"/>
  <c r="B17" i="70"/>
  <c r="BA15" i="70"/>
  <c r="N15" i="70" s="1"/>
  <c r="BB15" i="70"/>
  <c r="CX15" i="70"/>
  <c r="P15" i="70" s="1"/>
  <c r="Q14" i="70"/>
  <c r="O9" i="25"/>
  <c r="AJ9" i="23"/>
  <c r="CA15" i="70"/>
  <c r="O15" i="70" s="1"/>
  <c r="T10" i="25"/>
  <c r="AN10" i="23"/>
  <c r="AF10" i="23"/>
  <c r="J10" i="25"/>
  <c r="BB15" i="67"/>
  <c r="BA15" i="67"/>
  <c r="N15" i="67" s="1"/>
  <c r="CX15" i="67"/>
  <c r="P15" i="67" s="1"/>
  <c r="CA15" i="67"/>
  <c r="O15" i="67" s="1"/>
  <c r="Y9" i="25"/>
  <c r="AR9" i="23"/>
  <c r="V10" i="23"/>
  <c r="AA10" i="24" s="1"/>
  <c r="CS16" i="67"/>
  <c r="BL16" i="67"/>
  <c r="CH16" i="67"/>
  <c r="BY16" i="67"/>
  <c r="CF16" i="67"/>
  <c r="CE16" i="67"/>
  <c r="BV16" i="67"/>
  <c r="BZ16" i="67"/>
  <c r="BX16" i="67"/>
  <c r="BN16" i="67"/>
  <c r="BT16" i="67"/>
  <c r="CN16" i="67"/>
  <c r="BU16" i="67"/>
  <c r="AV16" i="67"/>
  <c r="BQ16" i="67"/>
  <c r="BW16" i="67"/>
  <c r="CP16" i="67"/>
  <c r="CT16" i="67"/>
  <c r="CQ16" i="67"/>
  <c r="BM16" i="67"/>
  <c r="AN16" i="67"/>
  <c r="BR16" i="67"/>
  <c r="BI16" i="67"/>
  <c r="BP16" i="67"/>
  <c r="BO16" i="67"/>
  <c r="AX16" i="67"/>
  <c r="AJ16" i="67"/>
  <c r="CK16" i="67"/>
  <c r="AW16" i="67"/>
  <c r="BS16" i="67"/>
  <c r="BJ16" i="67"/>
  <c r="AS16" i="67"/>
  <c r="BH16" i="67"/>
  <c r="BG16" i="67"/>
  <c r="AP16" i="67"/>
  <c r="CR16" i="67"/>
  <c r="AI16" i="67"/>
  <c r="CL16" i="67"/>
  <c r="AO16" i="67"/>
  <c r="BK16" i="67"/>
  <c r="AT16" i="67"/>
  <c r="AK16" i="67"/>
  <c r="AZ16" i="67"/>
  <c r="AY16" i="67"/>
  <c r="AH16" i="67"/>
  <c r="AM16" i="67"/>
  <c r="CG16" i="67"/>
  <c r="AG16" i="67"/>
  <c r="AU16" i="67"/>
  <c r="AL16" i="67"/>
  <c r="D16" i="67"/>
  <c r="X10" i="23" s="1"/>
  <c r="AD10" i="24" s="1"/>
  <c r="AR16" i="67"/>
  <c r="AQ16" i="67"/>
  <c r="CV16" i="67"/>
  <c r="CM16" i="67"/>
  <c r="CW16" i="67"/>
  <c r="CU16" i="67"/>
  <c r="CJ16" i="67"/>
  <c r="CO16" i="67"/>
  <c r="AD10" i="25"/>
  <c r="AV10" i="23"/>
  <c r="U11" i="23"/>
  <c r="Z11" i="24" s="1"/>
  <c r="B17" i="67"/>
  <c r="A18" i="67"/>
  <c r="Q11" i="23"/>
  <c r="U11" i="24" s="1"/>
  <c r="B17" i="66"/>
  <c r="A18" i="66"/>
  <c r="R10" i="23"/>
  <c r="V10" i="24" s="1"/>
  <c r="CQ16" i="66"/>
  <c r="AR16" i="66"/>
  <c r="AI16" i="66"/>
  <c r="CS16" i="66"/>
  <c r="BL16" i="66"/>
  <c r="BY16" i="66"/>
  <c r="AT16" i="66"/>
  <c r="AU16" i="66"/>
  <c r="CV16" i="66"/>
  <c r="AJ16" i="66"/>
  <c r="CT16" i="66"/>
  <c r="BU16" i="66"/>
  <c r="AV16" i="66"/>
  <c r="BQ16" i="66"/>
  <c r="BR16" i="66"/>
  <c r="CN16" i="66"/>
  <c r="CU16" i="66"/>
  <c r="CD16" i="66"/>
  <c r="BM16" i="66"/>
  <c r="BS16" i="66"/>
  <c r="BI16" i="66"/>
  <c r="AN16" i="66"/>
  <c r="AK16" i="66"/>
  <c r="CF16" i="66"/>
  <c r="CE16" i="66"/>
  <c r="BV16" i="66"/>
  <c r="AW16" i="66"/>
  <c r="BK16" i="66"/>
  <c r="AS16" i="66"/>
  <c r="AL16" i="66"/>
  <c r="CI16" i="66"/>
  <c r="BX16" i="66"/>
  <c r="BW16" i="66"/>
  <c r="BN16" i="66"/>
  <c r="AO16" i="66"/>
  <c r="CK16" i="66"/>
  <c r="BP16" i="66"/>
  <c r="BG16" i="66"/>
  <c r="AX16" i="66"/>
  <c r="AG16" i="66"/>
  <c r="AM16" i="66"/>
  <c r="CP16" i="66"/>
  <c r="BZ16" i="66"/>
  <c r="CL16" i="66"/>
  <c r="BH16" i="66"/>
  <c r="AY16" i="66"/>
  <c r="AP16" i="66"/>
  <c r="CR16" i="66"/>
  <c r="CW16" i="66"/>
  <c r="D16" i="66"/>
  <c r="T10" i="23" s="1"/>
  <c r="Y10" i="24" s="1"/>
  <c r="CJ16" i="66"/>
  <c r="AZ16" i="66"/>
  <c r="AQ16" i="66"/>
  <c r="AH16" i="66"/>
  <c r="BT16" i="66"/>
  <c r="CO16" i="66"/>
  <c r="BA15" i="66"/>
  <c r="N15" i="66" s="1"/>
  <c r="BB15" i="66"/>
  <c r="V45" i="70"/>
  <c r="V52" i="70" s="1"/>
  <c r="V45" i="71" s="1"/>
  <c r="CI17" i="68"/>
  <c r="CK17" i="68"/>
  <c r="CL17" i="68"/>
  <c r="CQ17" i="68"/>
  <c r="CJ17" i="68"/>
  <c r="CK17" i="73"/>
  <c r="CL17" i="73"/>
  <c r="CM17" i="73"/>
  <c r="CQ17" i="73"/>
  <c r="CG17" i="73"/>
  <c r="CI17" i="73"/>
  <c r="CJ17" i="73"/>
  <c r="CM17" i="71"/>
  <c r="CQ17" i="71"/>
  <c r="CI17" i="71"/>
  <c r="CJ17" i="71"/>
  <c r="CK17" i="71"/>
  <c r="CL17" i="71"/>
  <c r="CG17" i="71"/>
  <c r="CI17" i="69"/>
  <c r="CQ17" i="69"/>
  <c r="CJ17" i="69"/>
  <c r="CK17" i="69"/>
  <c r="CL17" i="69"/>
  <c r="CM17" i="69"/>
  <c r="CQ16" i="72"/>
  <c r="CJ16" i="72"/>
  <c r="CI16" i="72"/>
  <c r="CK16" i="72"/>
  <c r="CL16" i="72"/>
  <c r="CM16" i="72"/>
  <c r="CI17" i="65"/>
  <c r="CQ17" i="65"/>
  <c r="CJ17" i="65"/>
  <c r="CK17" i="65"/>
  <c r="CM17" i="65"/>
  <c r="CI17" i="64"/>
  <c r="CG17" i="64"/>
  <c r="CJ17" i="64"/>
  <c r="CQ17" i="64"/>
  <c r="CK17" i="64"/>
  <c r="CL17" i="64"/>
  <c r="CM17" i="64"/>
  <c r="CI17" i="63"/>
  <c r="CJ17" i="63"/>
  <c r="CK17" i="63"/>
  <c r="CL17" i="63"/>
  <c r="CM17" i="63"/>
  <c r="CQ17" i="63"/>
  <c r="CG17" i="63"/>
  <c r="CX16" i="64"/>
  <c r="P16" i="64" s="1"/>
  <c r="CX16" i="73"/>
  <c r="P16" i="73" s="1"/>
  <c r="CA16" i="73"/>
  <c r="O16" i="73" s="1"/>
  <c r="BB16" i="73"/>
  <c r="BA16" i="73"/>
  <c r="N16" i="73" s="1"/>
  <c r="A19" i="73"/>
  <c r="AS13" i="23" s="1"/>
  <c r="Z13" i="25" s="1"/>
  <c r="B18" i="73"/>
  <c r="AT12" i="23" s="1"/>
  <c r="AA12" i="25" s="1"/>
  <c r="N15" i="73"/>
  <c r="CW17" i="73"/>
  <c r="CO17" i="73"/>
  <c r="BY17" i="73"/>
  <c r="BQ17" i="73"/>
  <c r="BI17" i="73"/>
  <c r="AS17" i="73"/>
  <c r="AK17" i="73"/>
  <c r="D17" i="73"/>
  <c r="CV17" i="73"/>
  <c r="CN17" i="73"/>
  <c r="CF17" i="73"/>
  <c r="BX17" i="73"/>
  <c r="BP17" i="73"/>
  <c r="BH17" i="73"/>
  <c r="AZ17" i="73"/>
  <c r="AR17" i="73"/>
  <c r="AJ17" i="73"/>
  <c r="CU17" i="73"/>
  <c r="CE17" i="73"/>
  <c r="BW17" i="73"/>
  <c r="BO17" i="73"/>
  <c r="BG17" i="73"/>
  <c r="AY17" i="73"/>
  <c r="AQ17" i="73"/>
  <c r="AI17" i="73"/>
  <c r="CT17" i="73"/>
  <c r="CD17" i="73"/>
  <c r="BV17" i="73"/>
  <c r="BN17" i="73"/>
  <c r="AX17" i="73"/>
  <c r="AP17" i="73"/>
  <c r="AH17" i="73"/>
  <c r="CS17" i="73"/>
  <c r="BU17" i="73"/>
  <c r="BM17" i="73"/>
  <c r="AW17" i="73"/>
  <c r="AO17" i="73"/>
  <c r="AG17" i="73"/>
  <c r="CR17" i="73"/>
  <c r="BT17" i="73"/>
  <c r="BL17" i="73"/>
  <c r="AV17" i="73"/>
  <c r="AN17" i="73"/>
  <c r="BS17" i="73"/>
  <c r="BK17" i="73"/>
  <c r="AU17" i="73"/>
  <c r="AM17" i="73"/>
  <c r="CP17" i="73"/>
  <c r="CH17" i="73"/>
  <c r="BZ17" i="73"/>
  <c r="BR17" i="73"/>
  <c r="BJ17" i="73"/>
  <c r="AT17" i="73"/>
  <c r="AL17" i="73"/>
  <c r="CW16" i="72"/>
  <c r="CO16" i="72"/>
  <c r="BQ16" i="72"/>
  <c r="BI16" i="72"/>
  <c r="AS16" i="72"/>
  <c r="AK16" i="72"/>
  <c r="D16" i="72"/>
  <c r="CU16" i="72"/>
  <c r="CE16" i="72"/>
  <c r="BW16" i="72"/>
  <c r="BO16" i="72"/>
  <c r="BG16" i="72"/>
  <c r="AY16" i="72"/>
  <c r="AQ16" i="72"/>
  <c r="AI16" i="72"/>
  <c r="CT16" i="72"/>
  <c r="CD16" i="72"/>
  <c r="BV16" i="72"/>
  <c r="BN16" i="72"/>
  <c r="AX16" i="72"/>
  <c r="AP16" i="72"/>
  <c r="AH16" i="72"/>
  <c r="CS16" i="72"/>
  <c r="BU16" i="72"/>
  <c r="BM16" i="72"/>
  <c r="AW16" i="72"/>
  <c r="AO16" i="72"/>
  <c r="AG16" i="72"/>
  <c r="CR16" i="72"/>
  <c r="BT16" i="72"/>
  <c r="BL16" i="72"/>
  <c r="AV16" i="72"/>
  <c r="AN16" i="72"/>
  <c r="BS16" i="72"/>
  <c r="BK16" i="72"/>
  <c r="AU16" i="72"/>
  <c r="AM16" i="72"/>
  <c r="CP16" i="72"/>
  <c r="CH16" i="72"/>
  <c r="BZ16" i="72"/>
  <c r="BR16" i="72"/>
  <c r="AT16" i="72"/>
  <c r="AL16" i="72"/>
  <c r="BX16" i="72"/>
  <c r="AR16" i="72"/>
  <c r="BP16" i="72"/>
  <c r="AJ16" i="72"/>
  <c r="BH16" i="72"/>
  <c r="CN16" i="72"/>
  <c r="CF16" i="72"/>
  <c r="AZ16" i="72"/>
  <c r="N14" i="72"/>
  <c r="A18" i="72"/>
  <c r="AO12" i="23" s="1"/>
  <c r="U12" i="25" s="1"/>
  <c r="B17" i="72"/>
  <c r="AP11" i="23" s="1"/>
  <c r="V11" i="25" s="1"/>
  <c r="BB15" i="72"/>
  <c r="BA15" i="72"/>
  <c r="N15" i="72" s="1"/>
  <c r="CU17" i="71"/>
  <c r="BO17" i="71"/>
  <c r="BG17" i="71"/>
  <c r="AY17" i="71"/>
  <c r="AQ17" i="71"/>
  <c r="AI17" i="71"/>
  <c r="CD17" i="71"/>
  <c r="BV17" i="71"/>
  <c r="BN17" i="71"/>
  <c r="AX17" i="71"/>
  <c r="AP17" i="71"/>
  <c r="AH17" i="71"/>
  <c r="CS17" i="71"/>
  <c r="BY17" i="71"/>
  <c r="BM17" i="71"/>
  <c r="AT17" i="71"/>
  <c r="AJ17" i="71"/>
  <c r="CR17" i="71"/>
  <c r="CH17" i="71"/>
  <c r="BX17" i="71"/>
  <c r="BL17" i="71"/>
  <c r="AS17" i="71"/>
  <c r="AG17" i="71"/>
  <c r="BU17" i="71"/>
  <c r="BK17" i="71"/>
  <c r="AR17" i="71"/>
  <c r="CP17" i="71"/>
  <c r="CF17" i="71"/>
  <c r="BT17" i="71"/>
  <c r="BJ17" i="71"/>
  <c r="AO17" i="71"/>
  <c r="BS17" i="71"/>
  <c r="BI17" i="71"/>
  <c r="AZ17" i="71"/>
  <c r="AN17" i="71"/>
  <c r="CN17" i="71"/>
  <c r="AW17" i="71"/>
  <c r="AM17" i="71"/>
  <c r="D17" i="71"/>
  <c r="CW17" i="71"/>
  <c r="BQ17" i="71"/>
  <c r="AV17" i="71"/>
  <c r="AL17" i="71"/>
  <c r="CV17" i="71"/>
  <c r="BZ17" i="71"/>
  <c r="BP17" i="71"/>
  <c r="AU17" i="71"/>
  <c r="AK17" i="71"/>
  <c r="A19" i="71"/>
  <c r="AK13" i="23" s="1"/>
  <c r="P13" i="25" s="1"/>
  <c r="B18" i="71"/>
  <c r="AL12" i="23" s="1"/>
  <c r="Q12" i="25" s="1"/>
  <c r="BB16" i="71"/>
  <c r="BA16" i="71"/>
  <c r="N16" i="71" s="1"/>
  <c r="O15" i="71"/>
  <c r="BB16" i="69"/>
  <c r="BA16" i="69"/>
  <c r="N16" i="69" s="1"/>
  <c r="CR17" i="69"/>
  <c r="BL17" i="69"/>
  <c r="AV17" i="69"/>
  <c r="AN17" i="69"/>
  <c r="CP17" i="69"/>
  <c r="CH17" i="69"/>
  <c r="BZ17" i="69"/>
  <c r="BR17" i="69"/>
  <c r="AT17" i="69"/>
  <c r="AL17" i="69"/>
  <c r="CW17" i="69"/>
  <c r="CO17" i="69"/>
  <c r="BY17" i="69"/>
  <c r="BQ17" i="69"/>
  <c r="BI17" i="69"/>
  <c r="AS17" i="69"/>
  <c r="AK17" i="69"/>
  <c r="D17" i="69"/>
  <c r="CV17" i="69"/>
  <c r="CN17" i="69"/>
  <c r="CF17" i="69"/>
  <c r="BX17" i="69"/>
  <c r="BP17" i="69"/>
  <c r="BH17" i="69"/>
  <c r="AZ17" i="69"/>
  <c r="AR17" i="69"/>
  <c r="AJ17" i="69"/>
  <c r="CT17" i="69"/>
  <c r="CD17" i="69"/>
  <c r="AM17" i="69"/>
  <c r="CS17" i="69"/>
  <c r="BN17" i="69"/>
  <c r="AY17" i="69"/>
  <c r="AI17" i="69"/>
  <c r="BM17" i="69"/>
  <c r="AX17" i="69"/>
  <c r="AH17" i="69"/>
  <c r="BK17" i="69"/>
  <c r="AW17" i="69"/>
  <c r="AG17" i="69"/>
  <c r="BW17" i="69"/>
  <c r="BG17" i="69"/>
  <c r="AU17" i="69"/>
  <c r="BV17" i="69"/>
  <c r="AQ17" i="69"/>
  <c r="BU17" i="69"/>
  <c r="AP17" i="69"/>
  <c r="BS17" i="69"/>
  <c r="CU17" i="69"/>
  <c r="CE17" i="69"/>
  <c r="AO17" i="69"/>
  <c r="A19" i="69"/>
  <c r="AC13" i="23" s="1"/>
  <c r="F13" i="25" s="1"/>
  <c r="B18" i="69"/>
  <c r="AD12" i="23" s="1"/>
  <c r="G12" i="25" s="1"/>
  <c r="BB16" i="68"/>
  <c r="BA16" i="68"/>
  <c r="N16" i="68" s="1"/>
  <c r="Y16" i="68" s="1"/>
  <c r="Y38" i="68" s="1"/>
  <c r="BS17" i="68"/>
  <c r="BK17" i="68"/>
  <c r="AU17" i="68"/>
  <c r="AM17" i="68"/>
  <c r="CP17" i="68"/>
  <c r="BZ17" i="68"/>
  <c r="BR17" i="68"/>
  <c r="AT17" i="68"/>
  <c r="AL17" i="68"/>
  <c r="CT17" i="68"/>
  <c r="BX17" i="68"/>
  <c r="BN17" i="68"/>
  <c r="AS17" i="68"/>
  <c r="AI17" i="68"/>
  <c r="CS17" i="68"/>
  <c r="BW17" i="68"/>
  <c r="BM17" i="68"/>
  <c r="AR17" i="68"/>
  <c r="AH17" i="68"/>
  <c r="BY17" i="68"/>
  <c r="BI17" i="68"/>
  <c r="AZ17" i="68"/>
  <c r="AN17" i="68"/>
  <c r="BV17" i="68"/>
  <c r="BH17" i="68"/>
  <c r="AY17" i="68"/>
  <c r="AK17" i="68"/>
  <c r="CW17" i="68"/>
  <c r="BU17" i="68"/>
  <c r="BG17" i="68"/>
  <c r="AX17" i="68"/>
  <c r="AJ17" i="68"/>
  <c r="CV17" i="68"/>
  <c r="CF17" i="68"/>
  <c r="AW17" i="68"/>
  <c r="AG17" i="68"/>
  <c r="CU17" i="68"/>
  <c r="CE17" i="68"/>
  <c r="BQ17" i="68"/>
  <c r="AV17" i="68"/>
  <c r="CR17" i="68"/>
  <c r="CD17" i="68"/>
  <c r="BP17" i="68"/>
  <c r="AQ17" i="68"/>
  <c r="D17" i="68"/>
  <c r="AB11" i="23" s="1"/>
  <c r="E11" i="25" s="1"/>
  <c r="CO17" i="68"/>
  <c r="AP17" i="68"/>
  <c r="CN17" i="68"/>
  <c r="BL17" i="68"/>
  <c r="AO17" i="68"/>
  <c r="A19" i="68"/>
  <c r="Y13" i="23" s="1"/>
  <c r="A13" i="25" s="1"/>
  <c r="B18" i="68"/>
  <c r="Z12" i="23" s="1"/>
  <c r="B12" i="25" s="1"/>
  <c r="B18" i="65"/>
  <c r="N12" i="23" s="1"/>
  <c r="Q12" i="24" s="1"/>
  <c r="A19" i="65"/>
  <c r="M13" i="23" s="1"/>
  <c r="P13" i="24" s="1"/>
  <c r="CT17" i="65"/>
  <c r="CD17" i="65"/>
  <c r="BV17" i="65"/>
  <c r="AX17" i="65"/>
  <c r="AP17" i="65"/>
  <c r="AH17" i="65"/>
  <c r="CS17" i="65"/>
  <c r="BU17" i="65"/>
  <c r="BM17" i="65"/>
  <c r="AW17" i="65"/>
  <c r="AO17" i="65"/>
  <c r="AG17" i="65"/>
  <c r="CO17" i="65"/>
  <c r="CE17" i="65"/>
  <c r="BT17" i="65"/>
  <c r="BJ17" i="65"/>
  <c r="AR17" i="65"/>
  <c r="CN17" i="65"/>
  <c r="BS17" i="65"/>
  <c r="AQ17" i="65"/>
  <c r="CW17" i="65"/>
  <c r="BR17" i="65"/>
  <c r="BH17" i="65"/>
  <c r="AZ17" i="65"/>
  <c r="AN17" i="65"/>
  <c r="D17" i="65"/>
  <c r="P11" i="23" s="1"/>
  <c r="T11" i="24" s="1"/>
  <c r="CV17" i="65"/>
  <c r="BQ17" i="65"/>
  <c r="BG17" i="65"/>
  <c r="AY17" i="65"/>
  <c r="AM17" i="65"/>
  <c r="CU17" i="65"/>
  <c r="BZ17" i="65"/>
  <c r="BP17" i="65"/>
  <c r="AV17" i="65"/>
  <c r="AL17" i="65"/>
  <c r="CR17" i="65"/>
  <c r="CH17" i="65"/>
  <c r="BY17" i="65"/>
  <c r="BO17" i="65"/>
  <c r="AU17" i="65"/>
  <c r="AK17" i="65"/>
  <c r="BX17" i="65"/>
  <c r="BL17" i="65"/>
  <c r="AT17" i="65"/>
  <c r="AJ17" i="65"/>
  <c r="CP17" i="65"/>
  <c r="BW17" i="65"/>
  <c r="BK17" i="65"/>
  <c r="AS17" i="65"/>
  <c r="AI17" i="65"/>
  <c r="BB16" i="65"/>
  <c r="BA16" i="65"/>
  <c r="BB16" i="64"/>
  <c r="BA16" i="64"/>
  <c r="CS17" i="64"/>
  <c r="BU17" i="64"/>
  <c r="BM17" i="64"/>
  <c r="AW17" i="64"/>
  <c r="AO17" i="64"/>
  <c r="AG17" i="64"/>
  <c r="CR17" i="64"/>
  <c r="BT17" i="64"/>
  <c r="BL17" i="64"/>
  <c r="AV17" i="64"/>
  <c r="AN17" i="64"/>
  <c r="BS17" i="64"/>
  <c r="BK17" i="64"/>
  <c r="AU17" i="64"/>
  <c r="AM17" i="64"/>
  <c r="CP17" i="64"/>
  <c r="CH17" i="64"/>
  <c r="BZ17" i="64"/>
  <c r="BR17" i="64"/>
  <c r="BJ17" i="64"/>
  <c r="AT17" i="64"/>
  <c r="AL17" i="64"/>
  <c r="CV17" i="64"/>
  <c r="CN17" i="64"/>
  <c r="CF17" i="64"/>
  <c r="BX17" i="64"/>
  <c r="BP17" i="64"/>
  <c r="BH17" i="64"/>
  <c r="AZ17" i="64"/>
  <c r="AR17" i="64"/>
  <c r="BW17" i="64"/>
  <c r="AP17" i="64"/>
  <c r="BV17" i="64"/>
  <c r="AK17" i="64"/>
  <c r="BQ17" i="64"/>
  <c r="AJ17" i="64"/>
  <c r="CE17" i="64"/>
  <c r="BO17" i="64"/>
  <c r="AI17" i="64"/>
  <c r="CW17" i="64"/>
  <c r="BN17" i="64"/>
  <c r="AY17" i="64"/>
  <c r="AH17" i="64"/>
  <c r="D17" i="64"/>
  <c r="L11" i="23" s="1"/>
  <c r="O11" i="24" s="1"/>
  <c r="CU17" i="64"/>
  <c r="BI17" i="64"/>
  <c r="AX17" i="64"/>
  <c r="CT17" i="64"/>
  <c r="BG17" i="64"/>
  <c r="AS17" i="64"/>
  <c r="CO17" i="64"/>
  <c r="BY17" i="64"/>
  <c r="AQ17" i="64"/>
  <c r="B18" i="64"/>
  <c r="J12" i="23" s="1"/>
  <c r="L12" i="24" s="1"/>
  <c r="A19" i="64"/>
  <c r="I13" i="23" s="1"/>
  <c r="K13" i="24" s="1"/>
  <c r="CA16" i="64"/>
  <c r="CU17" i="63"/>
  <c r="CE17" i="63"/>
  <c r="BW17" i="63"/>
  <c r="BO17" i="63"/>
  <c r="BG17" i="63"/>
  <c r="AY17" i="63"/>
  <c r="AQ17" i="63"/>
  <c r="AI17" i="63"/>
  <c r="CT17" i="63"/>
  <c r="CD17" i="63"/>
  <c r="BV17" i="63"/>
  <c r="BN17" i="63"/>
  <c r="AX17" i="63"/>
  <c r="AP17" i="63"/>
  <c r="AH17" i="63"/>
  <c r="CN17" i="63"/>
  <c r="BR17" i="63"/>
  <c r="BH17" i="63"/>
  <c r="AW17" i="63"/>
  <c r="AM17" i="63"/>
  <c r="D17" i="63"/>
  <c r="H11" i="23" s="1"/>
  <c r="J11" i="24" s="1"/>
  <c r="CW17" i="63"/>
  <c r="BQ17" i="63"/>
  <c r="AV17" i="63"/>
  <c r="AL17" i="63"/>
  <c r="CV17" i="63"/>
  <c r="BZ17" i="63"/>
  <c r="BP17" i="63"/>
  <c r="AU17" i="63"/>
  <c r="AK17" i="63"/>
  <c r="CS17" i="63"/>
  <c r="BY17" i="63"/>
  <c r="BM17" i="63"/>
  <c r="AT17" i="63"/>
  <c r="AJ17" i="63"/>
  <c r="CR17" i="63"/>
  <c r="BX17" i="63"/>
  <c r="BL17" i="63"/>
  <c r="AS17" i="63"/>
  <c r="AG17" i="63"/>
  <c r="BU17" i="63"/>
  <c r="AR17" i="63"/>
  <c r="CP17" i="63"/>
  <c r="CF17" i="63"/>
  <c r="BT17" i="63"/>
  <c r="BJ17" i="63"/>
  <c r="AO17" i="63"/>
  <c r="CO17" i="63"/>
  <c r="BS17" i="63"/>
  <c r="BI17" i="63"/>
  <c r="AZ17" i="63"/>
  <c r="AN17" i="63"/>
  <c r="N15" i="63"/>
  <c r="A19" i="63"/>
  <c r="E13" i="23" s="1"/>
  <c r="F13" i="24" s="1"/>
  <c r="B18" i="63"/>
  <c r="F12" i="23" s="1"/>
  <c r="G12" i="24" s="1"/>
  <c r="BB16" i="63"/>
  <c r="BA16" i="63"/>
  <c r="N16" i="63" s="1"/>
  <c r="Q15" i="70" l="1"/>
  <c r="AH11" i="23"/>
  <c r="L11" i="25" s="1"/>
  <c r="CJ17" i="70"/>
  <c r="BH17" i="70"/>
  <c r="AY17" i="70"/>
  <c r="AP17" i="70"/>
  <c r="CR17" i="70"/>
  <c r="AM17" i="70"/>
  <c r="AK17" i="70"/>
  <c r="BM17" i="70"/>
  <c r="AZ17" i="70"/>
  <c r="AQ17" i="70"/>
  <c r="AH17" i="70"/>
  <c r="BT17" i="70"/>
  <c r="BQ17" i="70"/>
  <c r="BZ17" i="70"/>
  <c r="AN17" i="70"/>
  <c r="CI17" i="70"/>
  <c r="AR17" i="70"/>
  <c r="AI17" i="70"/>
  <c r="CS17" i="70"/>
  <c r="BL17" i="70"/>
  <c r="CH17" i="70"/>
  <c r="CW17" i="70"/>
  <c r="CD17" i="70"/>
  <c r="CK17" i="70"/>
  <c r="CV17" i="70"/>
  <c r="AJ17" i="70"/>
  <c r="CT17" i="70"/>
  <c r="BU17" i="70"/>
  <c r="AV17" i="70"/>
  <c r="BJ17" i="70"/>
  <c r="BY17" i="70"/>
  <c r="AT17" i="70"/>
  <c r="CL17" i="70"/>
  <c r="CN17" i="70"/>
  <c r="CU17" i="70"/>
  <c r="D17" i="70"/>
  <c r="CM17" i="70"/>
  <c r="CF17" i="70"/>
  <c r="BW17" i="70"/>
  <c r="BV17" i="70"/>
  <c r="AW17" i="70"/>
  <c r="BS17" i="70"/>
  <c r="BI17" i="70"/>
  <c r="CP17" i="70"/>
  <c r="AL17" i="70"/>
  <c r="CG17" i="70"/>
  <c r="BX17" i="70"/>
  <c r="BO17" i="70"/>
  <c r="BN17" i="70"/>
  <c r="AO17" i="70"/>
  <c r="BK17" i="70"/>
  <c r="AS17" i="70"/>
  <c r="BR17" i="70"/>
  <c r="CQ17" i="70"/>
  <c r="BP17" i="70"/>
  <c r="BG17" i="70"/>
  <c r="AX17" i="70"/>
  <c r="AG17" i="70"/>
  <c r="AU17" i="70"/>
  <c r="AJ10" i="23"/>
  <c r="O10" i="25"/>
  <c r="CA16" i="70"/>
  <c r="O16" i="70" s="1"/>
  <c r="AG12" i="23"/>
  <c r="K12" i="25" s="1"/>
  <c r="B18" i="70"/>
  <c r="A19" i="70"/>
  <c r="BB16" i="70"/>
  <c r="BA16" i="70"/>
  <c r="N16" i="70" s="1"/>
  <c r="U12" i="23"/>
  <c r="Z12" i="24" s="1"/>
  <c r="B18" i="67"/>
  <c r="A19" i="67"/>
  <c r="BB16" i="67"/>
  <c r="BA16" i="67"/>
  <c r="N16" i="67" s="1"/>
  <c r="J11" i="25"/>
  <c r="AF11" i="23"/>
  <c r="V11" i="23"/>
  <c r="AA11" i="24" s="1"/>
  <c r="CG17" i="67"/>
  <c r="BH17" i="67"/>
  <c r="AQ17" i="67"/>
  <c r="CS17" i="67"/>
  <c r="CK17" i="67"/>
  <c r="AZ17" i="67"/>
  <c r="AI17" i="67"/>
  <c r="BU17" i="67"/>
  <c r="AN17" i="67"/>
  <c r="BR17" i="67"/>
  <c r="AS17" i="67"/>
  <c r="CP17" i="67"/>
  <c r="AY17" i="67"/>
  <c r="BZ17" i="67"/>
  <c r="CL17" i="67"/>
  <c r="AR17" i="67"/>
  <c r="CT17" i="67"/>
  <c r="BM17" i="67"/>
  <c r="BS17" i="67"/>
  <c r="BJ17" i="67"/>
  <c r="AK17" i="67"/>
  <c r="BY17" i="67"/>
  <c r="CM17" i="67"/>
  <c r="AJ17" i="67"/>
  <c r="BV17" i="67"/>
  <c r="AW17" i="67"/>
  <c r="BK17" i="67"/>
  <c r="AT17" i="67"/>
  <c r="D17" i="67"/>
  <c r="X11" i="23" s="1"/>
  <c r="AD11" i="24" s="1"/>
  <c r="AL17" i="67"/>
  <c r="CR17" i="67"/>
  <c r="AH17" i="67"/>
  <c r="BI17" i="67"/>
  <c r="CV17" i="67"/>
  <c r="CU17" i="67"/>
  <c r="BN17" i="67"/>
  <c r="AO17" i="67"/>
  <c r="AU17" i="67"/>
  <c r="BO17" i="67"/>
  <c r="CH17" i="67"/>
  <c r="CF17" i="67"/>
  <c r="BW17" i="67"/>
  <c r="AX17" i="67"/>
  <c r="AG17" i="67"/>
  <c r="AM17" i="67"/>
  <c r="CW17" i="67"/>
  <c r="AP17" i="67"/>
  <c r="BP17" i="67"/>
  <c r="AV17" i="67"/>
  <c r="CI17" i="67"/>
  <c r="BX17" i="67"/>
  <c r="CO17" i="67"/>
  <c r="CQ17" i="67"/>
  <c r="BT17" i="67"/>
  <c r="AV11" i="23"/>
  <c r="AD11" i="25"/>
  <c r="Q15" i="67"/>
  <c r="T11" i="25"/>
  <c r="AN11" i="23"/>
  <c r="Y10" i="25"/>
  <c r="AR10" i="23"/>
  <c r="CA16" i="67"/>
  <c r="O16" i="67" s="1"/>
  <c r="BB16" i="66"/>
  <c r="BA16" i="66"/>
  <c r="N16" i="66" s="1"/>
  <c r="Q12" i="23"/>
  <c r="U12" i="24" s="1"/>
  <c r="B18" i="66"/>
  <c r="A19" i="66"/>
  <c r="R11" i="23"/>
  <c r="V11" i="24" s="1"/>
  <c r="CJ17" i="66"/>
  <c r="AT17" i="66"/>
  <c r="AK17" i="66"/>
  <c r="AR17" i="66"/>
  <c r="AQ17" i="66"/>
  <c r="AH17" i="66"/>
  <c r="AV17" i="66"/>
  <c r="CD17" i="66"/>
  <c r="BV17" i="66"/>
  <c r="CK17" i="66"/>
  <c r="BS17" i="66"/>
  <c r="AL17" i="66"/>
  <c r="D17" i="66"/>
  <c r="T11" i="23" s="1"/>
  <c r="Y11" i="24" s="1"/>
  <c r="AJ17" i="66"/>
  <c r="AI17" i="66"/>
  <c r="CS17" i="66"/>
  <c r="AN17" i="66"/>
  <c r="CE17" i="66"/>
  <c r="CL17" i="66"/>
  <c r="AU17" i="66"/>
  <c r="CW17" i="66"/>
  <c r="CV17" i="66"/>
  <c r="CU17" i="66"/>
  <c r="CT17" i="66"/>
  <c r="BU17" i="66"/>
  <c r="AO17" i="66"/>
  <c r="CN17" i="66"/>
  <c r="AG17" i="66"/>
  <c r="CQ17" i="66"/>
  <c r="AM17" i="66"/>
  <c r="CO17" i="66"/>
  <c r="BM17" i="66"/>
  <c r="AW17" i="66"/>
  <c r="CP17" i="66"/>
  <c r="BY17" i="66"/>
  <c r="CF17" i="66"/>
  <c r="BW17" i="66"/>
  <c r="CI17" i="66"/>
  <c r="BZ17" i="66"/>
  <c r="BQ17" i="66"/>
  <c r="BX17" i="66"/>
  <c r="BO17" i="66"/>
  <c r="BN17" i="66"/>
  <c r="CR17" i="66"/>
  <c r="BH17" i="66"/>
  <c r="AX17" i="66"/>
  <c r="BL17" i="66"/>
  <c r="CM17" i="66"/>
  <c r="BR17" i="66"/>
  <c r="BI17" i="66"/>
  <c r="BG17" i="66"/>
  <c r="BT17" i="66"/>
  <c r="CG17" i="66"/>
  <c r="BJ17" i="66"/>
  <c r="AS17" i="66"/>
  <c r="AZ17" i="66"/>
  <c r="AY17" i="66"/>
  <c r="AP17" i="66"/>
  <c r="V46" i="71"/>
  <c r="V53" i="71" s="1"/>
  <c r="V44" i="72" s="1"/>
  <c r="G35" i="50"/>
  <c r="G36" i="50" s="1"/>
  <c r="CI18" i="69"/>
  <c r="CJ18" i="69"/>
  <c r="CQ18" i="69"/>
  <c r="CK18" i="69"/>
  <c r="CL18" i="69"/>
  <c r="CM18" i="69"/>
  <c r="CG18" i="69"/>
  <c r="CI18" i="73"/>
  <c r="CJ18" i="73"/>
  <c r="CQ18" i="73"/>
  <c r="CK18" i="73"/>
  <c r="CL18" i="73"/>
  <c r="CM18" i="73"/>
  <c r="CG18" i="73"/>
  <c r="CI18" i="68"/>
  <c r="CJ18" i="68"/>
  <c r="CQ18" i="68"/>
  <c r="CK18" i="68"/>
  <c r="CL18" i="68"/>
  <c r="CM18" i="68"/>
  <c r="CG18" i="68"/>
  <c r="CJ17" i="72"/>
  <c r="CK17" i="72"/>
  <c r="CL17" i="72"/>
  <c r="CM17" i="72"/>
  <c r="CG17" i="72"/>
  <c r="CQ17" i="72"/>
  <c r="CI17" i="72"/>
  <c r="CJ18" i="71"/>
  <c r="CQ18" i="71"/>
  <c r="CK18" i="71"/>
  <c r="CL18" i="71"/>
  <c r="CM18" i="71"/>
  <c r="CI18" i="71"/>
  <c r="CG18" i="71"/>
  <c r="CI18" i="65"/>
  <c r="CJ18" i="65"/>
  <c r="CK18" i="65"/>
  <c r="CQ18" i="65"/>
  <c r="CL18" i="65"/>
  <c r="CI18" i="64"/>
  <c r="CL18" i="64"/>
  <c r="CM18" i="64"/>
  <c r="CG18" i="64"/>
  <c r="CQ18" i="64"/>
  <c r="CJ18" i="64"/>
  <c r="CK18" i="64"/>
  <c r="CI18" i="63"/>
  <c r="CJ18" i="63"/>
  <c r="CK18" i="63"/>
  <c r="CL18" i="63"/>
  <c r="CM18" i="63"/>
  <c r="CQ18" i="63"/>
  <c r="CG18" i="63"/>
  <c r="CX17" i="73"/>
  <c r="P17" i="73" s="1"/>
  <c r="Q16" i="73"/>
  <c r="CA17" i="73"/>
  <c r="O17" i="73" s="1"/>
  <c r="Q15" i="73"/>
  <c r="BB17" i="73"/>
  <c r="BA17" i="73"/>
  <c r="N17" i="73" s="1"/>
  <c r="Y16" i="73" s="1"/>
  <c r="CR18" i="73"/>
  <c r="BT18" i="73"/>
  <c r="BL18" i="73"/>
  <c r="AV18" i="73"/>
  <c r="AN18" i="73"/>
  <c r="BS18" i="73"/>
  <c r="BK18" i="73"/>
  <c r="AU18" i="73"/>
  <c r="AM18" i="73"/>
  <c r="CP18" i="73"/>
  <c r="CH18" i="73"/>
  <c r="BZ18" i="73"/>
  <c r="BR18" i="73"/>
  <c r="BJ18" i="73"/>
  <c r="AT18" i="73"/>
  <c r="AL18" i="73"/>
  <c r="CW18" i="73"/>
  <c r="CO18" i="73"/>
  <c r="BY18" i="73"/>
  <c r="BQ18" i="73"/>
  <c r="BI18" i="73"/>
  <c r="AS18" i="73"/>
  <c r="AK18" i="73"/>
  <c r="D18" i="73"/>
  <c r="CV18" i="73"/>
  <c r="CN18" i="73"/>
  <c r="CF18" i="73"/>
  <c r="BX18" i="73"/>
  <c r="BP18" i="73"/>
  <c r="BH18" i="73"/>
  <c r="AZ18" i="73"/>
  <c r="AR18" i="73"/>
  <c r="AJ18" i="73"/>
  <c r="CU18" i="73"/>
  <c r="CE18" i="73"/>
  <c r="BW18" i="73"/>
  <c r="BO18" i="73"/>
  <c r="BG18" i="73"/>
  <c r="AY18" i="73"/>
  <c r="AQ18" i="73"/>
  <c r="AI18" i="73"/>
  <c r="CT18" i="73"/>
  <c r="CD18" i="73"/>
  <c r="BV18" i="73"/>
  <c r="BN18" i="73"/>
  <c r="AX18" i="73"/>
  <c r="AP18" i="73"/>
  <c r="AH18" i="73"/>
  <c r="CS18" i="73"/>
  <c r="BU18" i="73"/>
  <c r="BM18" i="73"/>
  <c r="AW18" i="73"/>
  <c r="AO18" i="73"/>
  <c r="AG18" i="73"/>
  <c r="A20" i="73"/>
  <c r="AS14" i="23" s="1"/>
  <c r="Z14" i="25" s="1"/>
  <c r="B19" i="73"/>
  <c r="AT13" i="23" s="1"/>
  <c r="AA13" i="25" s="1"/>
  <c r="A19" i="72"/>
  <c r="AO13" i="23" s="1"/>
  <c r="U13" i="25" s="1"/>
  <c r="B18" i="72"/>
  <c r="AP12" i="23" s="1"/>
  <c r="V12" i="25" s="1"/>
  <c r="CR17" i="72"/>
  <c r="BT17" i="72"/>
  <c r="BL17" i="72"/>
  <c r="AV17" i="72"/>
  <c r="AN17" i="72"/>
  <c r="CP17" i="72"/>
  <c r="BR17" i="72"/>
  <c r="BJ17" i="72"/>
  <c r="AT17" i="72"/>
  <c r="AL17" i="72"/>
  <c r="CO17" i="72"/>
  <c r="BY17" i="72"/>
  <c r="BQ17" i="72"/>
  <c r="BI17" i="72"/>
  <c r="AS17" i="72"/>
  <c r="AK17" i="72"/>
  <c r="D17" i="72"/>
  <c r="CV17" i="72"/>
  <c r="CN17" i="72"/>
  <c r="CF17" i="72"/>
  <c r="BX17" i="72"/>
  <c r="BP17" i="72"/>
  <c r="BH17" i="72"/>
  <c r="AZ17" i="72"/>
  <c r="AR17" i="72"/>
  <c r="AJ17" i="72"/>
  <c r="CU17" i="72"/>
  <c r="CE17" i="72"/>
  <c r="BW17" i="72"/>
  <c r="BO17" i="72"/>
  <c r="BG17" i="72"/>
  <c r="AY17" i="72"/>
  <c r="AQ17" i="72"/>
  <c r="AI17" i="72"/>
  <c r="CT17" i="72"/>
  <c r="CD17" i="72"/>
  <c r="BV17" i="72"/>
  <c r="BN17" i="72"/>
  <c r="AX17" i="72"/>
  <c r="AP17" i="72"/>
  <c r="AH17" i="72"/>
  <c r="CS17" i="72"/>
  <c r="BU17" i="72"/>
  <c r="BM17" i="72"/>
  <c r="AW17" i="72"/>
  <c r="AO17" i="72"/>
  <c r="AG17" i="72"/>
  <c r="AU17" i="72"/>
  <c r="AM17" i="72"/>
  <c r="BS17" i="72"/>
  <c r="BB16" i="72"/>
  <c r="BA16" i="72"/>
  <c r="N16" i="72" s="1"/>
  <c r="CH18" i="71"/>
  <c r="BZ18" i="71"/>
  <c r="BR18" i="71"/>
  <c r="BJ18" i="71"/>
  <c r="AT18" i="71"/>
  <c r="AL18" i="71"/>
  <c r="CW18" i="71"/>
  <c r="CO18" i="71"/>
  <c r="BY18" i="71"/>
  <c r="BQ18" i="71"/>
  <c r="AS18" i="71"/>
  <c r="AK18" i="71"/>
  <c r="D18" i="71"/>
  <c r="CR18" i="71"/>
  <c r="BV18" i="71"/>
  <c r="BL18" i="71"/>
  <c r="AZ18" i="71"/>
  <c r="AP18" i="71"/>
  <c r="CE18" i="71"/>
  <c r="BU18" i="71"/>
  <c r="BK18" i="71"/>
  <c r="AY18" i="71"/>
  <c r="AO18" i="71"/>
  <c r="CN18" i="71"/>
  <c r="CD18" i="71"/>
  <c r="BT18" i="71"/>
  <c r="BH18" i="71"/>
  <c r="AX18" i="71"/>
  <c r="AN18" i="71"/>
  <c r="BG18" i="71"/>
  <c r="AW18" i="71"/>
  <c r="AM18" i="71"/>
  <c r="CV18" i="71"/>
  <c r="BP18" i="71"/>
  <c r="AV18" i="71"/>
  <c r="AJ18" i="71"/>
  <c r="BO18" i="71"/>
  <c r="AU18" i="71"/>
  <c r="AI18" i="71"/>
  <c r="CT18" i="71"/>
  <c r="BN18" i="71"/>
  <c r="AR18" i="71"/>
  <c r="AH18" i="71"/>
  <c r="CS18" i="71"/>
  <c r="BW18" i="71"/>
  <c r="BM18" i="71"/>
  <c r="AQ18" i="71"/>
  <c r="AG18" i="71"/>
  <c r="A20" i="71"/>
  <c r="AK14" i="23" s="1"/>
  <c r="P14" i="25" s="1"/>
  <c r="B19" i="71"/>
  <c r="AL13" i="23" s="1"/>
  <c r="Q13" i="25" s="1"/>
  <c r="BB17" i="71"/>
  <c r="BA17" i="71"/>
  <c r="N17" i="71" s="1"/>
  <c r="CU18" i="69"/>
  <c r="CE18" i="69"/>
  <c r="BW18" i="69"/>
  <c r="BO18" i="69"/>
  <c r="BG18" i="69"/>
  <c r="AY18" i="69"/>
  <c r="AQ18" i="69"/>
  <c r="AI18" i="69"/>
  <c r="CT18" i="69"/>
  <c r="CD18" i="69"/>
  <c r="BV18" i="69"/>
  <c r="BN18" i="69"/>
  <c r="AX18" i="69"/>
  <c r="AP18" i="69"/>
  <c r="AH18" i="69"/>
  <c r="CS18" i="69"/>
  <c r="BM18" i="69"/>
  <c r="AW18" i="69"/>
  <c r="AO18" i="69"/>
  <c r="AG18" i="69"/>
  <c r="BT18" i="69"/>
  <c r="BL18" i="69"/>
  <c r="AV18" i="69"/>
  <c r="AN18" i="69"/>
  <c r="BS18" i="69"/>
  <c r="AU18" i="69"/>
  <c r="AM18" i="69"/>
  <c r="CP18" i="69"/>
  <c r="CW18" i="69"/>
  <c r="CO18" i="69"/>
  <c r="BY18" i="69"/>
  <c r="BQ18" i="69"/>
  <c r="BX18" i="69"/>
  <c r="AL18" i="69"/>
  <c r="CV18" i="69"/>
  <c r="BR18" i="69"/>
  <c r="AK18" i="69"/>
  <c r="CN18" i="69"/>
  <c r="AJ18" i="69"/>
  <c r="BJ18" i="69"/>
  <c r="D18" i="69"/>
  <c r="CF18" i="69"/>
  <c r="BI18" i="69"/>
  <c r="AZ18" i="69"/>
  <c r="BH18" i="69"/>
  <c r="AT18" i="69"/>
  <c r="AS18" i="69"/>
  <c r="AR18" i="69"/>
  <c r="BZ18" i="69"/>
  <c r="BB17" i="69"/>
  <c r="BA17" i="69"/>
  <c r="N17" i="69" s="1"/>
  <c r="Y16" i="69" s="1"/>
  <c r="Y40" i="69" s="1"/>
  <c r="B19" i="69"/>
  <c r="AD13" i="23" s="1"/>
  <c r="G13" i="25" s="1"/>
  <c r="A20" i="69"/>
  <c r="AC14" i="23" s="1"/>
  <c r="F14" i="25" s="1"/>
  <c r="B19" i="68"/>
  <c r="Z13" i="23" s="1"/>
  <c r="B13" i="25" s="1"/>
  <c r="A20" i="68"/>
  <c r="Y14" i="23" s="1"/>
  <c r="A14" i="25" s="1"/>
  <c r="BB17" i="68"/>
  <c r="BA17" i="68"/>
  <c r="N17" i="68" s="1"/>
  <c r="CT18" i="68"/>
  <c r="CD18" i="68"/>
  <c r="BV18" i="68"/>
  <c r="BN18" i="68"/>
  <c r="AX18" i="68"/>
  <c r="AP18" i="68"/>
  <c r="AH18" i="68"/>
  <c r="CS18" i="68"/>
  <c r="BM18" i="68"/>
  <c r="AW18" i="68"/>
  <c r="AO18" i="68"/>
  <c r="AG18" i="68"/>
  <c r="CN18" i="68"/>
  <c r="BS18" i="68"/>
  <c r="BI18" i="68"/>
  <c r="AQ18" i="68"/>
  <c r="CW18" i="68"/>
  <c r="BR18" i="68"/>
  <c r="BH18" i="68"/>
  <c r="AZ18" i="68"/>
  <c r="AN18" i="68"/>
  <c r="D18" i="68"/>
  <c r="AB12" i="23" s="1"/>
  <c r="E12" i="25" s="1"/>
  <c r="CO18" i="68"/>
  <c r="AR18" i="68"/>
  <c r="BO18" i="68"/>
  <c r="AM18" i="68"/>
  <c r="BZ18" i="68"/>
  <c r="BL18" i="68"/>
  <c r="AL18" i="68"/>
  <c r="CV18" i="68"/>
  <c r="BY18" i="68"/>
  <c r="AY18" i="68"/>
  <c r="AK18" i="68"/>
  <c r="CU18" i="68"/>
  <c r="BX18" i="68"/>
  <c r="BJ18" i="68"/>
  <c r="AV18" i="68"/>
  <c r="AJ18" i="68"/>
  <c r="CF18" i="68"/>
  <c r="BW18" i="68"/>
  <c r="BG18" i="68"/>
  <c r="AU18" i="68"/>
  <c r="AI18" i="68"/>
  <c r="CE18" i="68"/>
  <c r="BT18" i="68"/>
  <c r="AT18" i="68"/>
  <c r="CP18" i="68"/>
  <c r="BQ18" i="68"/>
  <c r="AS18" i="68"/>
  <c r="BB17" i="65"/>
  <c r="BA17" i="65"/>
  <c r="N17" i="65" s="1"/>
  <c r="A20" i="65"/>
  <c r="M14" i="23" s="1"/>
  <c r="P14" i="24" s="1"/>
  <c r="B19" i="65"/>
  <c r="N13" i="23" s="1"/>
  <c r="Q13" i="24" s="1"/>
  <c r="CW18" i="65"/>
  <c r="CO18" i="65"/>
  <c r="BY18" i="65"/>
  <c r="BQ18" i="65"/>
  <c r="BI18" i="65"/>
  <c r="AS18" i="65"/>
  <c r="AK18" i="65"/>
  <c r="D18" i="65"/>
  <c r="P12" i="23" s="1"/>
  <c r="T12" i="24" s="1"/>
  <c r="CV18" i="65"/>
  <c r="CN18" i="65"/>
  <c r="CF18" i="65"/>
  <c r="BX18" i="65"/>
  <c r="BP18" i="65"/>
  <c r="BH18" i="65"/>
  <c r="AZ18" i="65"/>
  <c r="AR18" i="65"/>
  <c r="AJ18" i="65"/>
  <c r="CR18" i="65"/>
  <c r="BT18" i="65"/>
  <c r="CP18" i="65"/>
  <c r="BR18" i="65"/>
  <c r="AV18" i="65"/>
  <c r="AL18" i="65"/>
  <c r="AU18" i="65"/>
  <c r="AI18" i="65"/>
  <c r="BN18" i="65"/>
  <c r="AT18" i="65"/>
  <c r="AH18" i="65"/>
  <c r="BZ18" i="65"/>
  <c r="BM18" i="65"/>
  <c r="AQ18" i="65"/>
  <c r="AG18" i="65"/>
  <c r="CU18" i="65"/>
  <c r="BW18" i="65"/>
  <c r="BL18" i="65"/>
  <c r="AP18" i="65"/>
  <c r="CT18" i="65"/>
  <c r="BV18" i="65"/>
  <c r="BK18" i="65"/>
  <c r="AY18" i="65"/>
  <c r="AO18" i="65"/>
  <c r="CS18" i="65"/>
  <c r="CE18" i="65"/>
  <c r="BU18" i="65"/>
  <c r="AX18" i="65"/>
  <c r="AN18" i="65"/>
  <c r="CD18" i="65"/>
  <c r="BS18" i="65"/>
  <c r="BG18" i="65"/>
  <c r="AW18" i="65"/>
  <c r="AM18" i="65"/>
  <c r="N16" i="65"/>
  <c r="BB17" i="64"/>
  <c r="BA17" i="64"/>
  <c r="N17" i="64" s="1"/>
  <c r="Y16" i="64" s="1"/>
  <c r="B19" i="64"/>
  <c r="J13" i="23" s="1"/>
  <c r="L13" i="24" s="1"/>
  <c r="A20" i="64"/>
  <c r="I14" i="23" s="1"/>
  <c r="K14" i="24" s="1"/>
  <c r="N16" i="64"/>
  <c r="O16" i="64"/>
  <c r="CV18" i="64"/>
  <c r="CN18" i="64"/>
  <c r="CF18" i="64"/>
  <c r="BX18" i="64"/>
  <c r="BP18" i="64"/>
  <c r="BH18" i="64"/>
  <c r="AZ18" i="64"/>
  <c r="AR18" i="64"/>
  <c r="AJ18" i="64"/>
  <c r="CU18" i="64"/>
  <c r="BW18" i="64"/>
  <c r="BO18" i="64"/>
  <c r="AY18" i="64"/>
  <c r="AQ18" i="64"/>
  <c r="AI18" i="64"/>
  <c r="CT18" i="64"/>
  <c r="BV18" i="64"/>
  <c r="BN18" i="64"/>
  <c r="AX18" i="64"/>
  <c r="AP18" i="64"/>
  <c r="AH18" i="64"/>
  <c r="CS18" i="64"/>
  <c r="BU18" i="64"/>
  <c r="BM18" i="64"/>
  <c r="AW18" i="64"/>
  <c r="AO18" i="64"/>
  <c r="AG18" i="64"/>
  <c r="CR18" i="64"/>
  <c r="BT18" i="64"/>
  <c r="BL18" i="64"/>
  <c r="AV18" i="64"/>
  <c r="AN18" i="64"/>
  <c r="BS18" i="64"/>
  <c r="BK18" i="64"/>
  <c r="AU18" i="64"/>
  <c r="AM18" i="64"/>
  <c r="CP18" i="64"/>
  <c r="CH18" i="64"/>
  <c r="BZ18" i="64"/>
  <c r="BR18" i="64"/>
  <c r="BJ18" i="64"/>
  <c r="CW18" i="64"/>
  <c r="CO18" i="64"/>
  <c r="BI18" i="64"/>
  <c r="AL18" i="64"/>
  <c r="AK18" i="64"/>
  <c r="D18" i="64"/>
  <c r="L12" i="23" s="1"/>
  <c r="O12" i="24" s="1"/>
  <c r="BY18" i="64"/>
  <c r="AT18" i="64"/>
  <c r="BQ18" i="64"/>
  <c r="AS18" i="64"/>
  <c r="CA17" i="64"/>
  <c r="O17" i="64" s="1"/>
  <c r="BB17" i="63"/>
  <c r="BA17" i="63"/>
  <c r="N17" i="63" s="1"/>
  <c r="Y15" i="63"/>
  <c r="CP18" i="63"/>
  <c r="CH18" i="63"/>
  <c r="BZ18" i="63"/>
  <c r="BR18" i="63"/>
  <c r="BJ18" i="63"/>
  <c r="AT18" i="63"/>
  <c r="AL18" i="63"/>
  <c r="CW18" i="63"/>
  <c r="CO18" i="63"/>
  <c r="BY18" i="63"/>
  <c r="BQ18" i="63"/>
  <c r="BI18" i="63"/>
  <c r="AS18" i="63"/>
  <c r="AK18" i="63"/>
  <c r="D18" i="63"/>
  <c r="H12" i="23" s="1"/>
  <c r="J12" i="24" s="1"/>
  <c r="CU18" i="63"/>
  <c r="BO18" i="63"/>
  <c r="AU18" i="63"/>
  <c r="AI18" i="63"/>
  <c r="CT18" i="63"/>
  <c r="BX18" i="63"/>
  <c r="BN18" i="63"/>
  <c r="AR18" i="63"/>
  <c r="AH18" i="63"/>
  <c r="CS18" i="63"/>
  <c r="BW18" i="63"/>
  <c r="BM18" i="63"/>
  <c r="AQ18" i="63"/>
  <c r="AG18" i="63"/>
  <c r="CR18" i="63"/>
  <c r="CF18" i="63"/>
  <c r="BV18" i="63"/>
  <c r="BL18" i="63"/>
  <c r="AZ18" i="63"/>
  <c r="AP18" i="63"/>
  <c r="CE18" i="63"/>
  <c r="BU18" i="63"/>
  <c r="BK18" i="63"/>
  <c r="AY18" i="63"/>
  <c r="AO18" i="63"/>
  <c r="CN18" i="63"/>
  <c r="CD18" i="63"/>
  <c r="BT18" i="63"/>
  <c r="BH18" i="63"/>
  <c r="AX18" i="63"/>
  <c r="AN18" i="63"/>
  <c r="BS18" i="63"/>
  <c r="BG18" i="63"/>
  <c r="AW18" i="63"/>
  <c r="AM18" i="63"/>
  <c r="CV18" i="63"/>
  <c r="BP18" i="63"/>
  <c r="AV18" i="63"/>
  <c r="AJ18" i="63"/>
  <c r="A20" i="63"/>
  <c r="E14" i="23" s="1"/>
  <c r="F14" i="24" s="1"/>
  <c r="B19" i="63"/>
  <c r="F13" i="23" s="1"/>
  <c r="G13" i="24" s="1"/>
  <c r="O11" i="25" l="1"/>
  <c r="AJ11" i="23"/>
  <c r="BB17" i="70"/>
  <c r="BA17" i="70"/>
  <c r="N17" i="70" s="1"/>
  <c r="AG13" i="23"/>
  <c r="K13" i="25" s="1"/>
  <c r="A20" i="70"/>
  <c r="B19" i="70"/>
  <c r="AH12" i="23"/>
  <c r="L12" i="25" s="1"/>
  <c r="CJ18" i="70"/>
  <c r="BR18" i="70"/>
  <c r="BI18" i="70"/>
  <c r="BH18" i="70"/>
  <c r="BG18" i="70"/>
  <c r="AX18" i="70"/>
  <c r="BU18" i="70"/>
  <c r="CG18" i="70"/>
  <c r="BJ18" i="70"/>
  <c r="AS18" i="70"/>
  <c r="AZ18" i="70"/>
  <c r="AY18" i="70"/>
  <c r="AP18" i="70"/>
  <c r="AO18" i="70"/>
  <c r="CK18" i="70"/>
  <c r="BS18" i="70"/>
  <c r="AT18" i="70"/>
  <c r="AK18" i="70"/>
  <c r="AR18" i="70"/>
  <c r="AQ18" i="70"/>
  <c r="AH18" i="70"/>
  <c r="BM18" i="70"/>
  <c r="CQ18" i="70"/>
  <c r="BK18" i="70"/>
  <c r="AL18" i="70"/>
  <c r="D18" i="70"/>
  <c r="AJ18" i="70"/>
  <c r="AI18" i="70"/>
  <c r="CS18" i="70"/>
  <c r="AN18" i="70"/>
  <c r="CL18" i="70"/>
  <c r="AU18" i="70"/>
  <c r="CW18" i="70"/>
  <c r="CV18" i="70"/>
  <c r="CU18" i="70"/>
  <c r="CT18" i="70"/>
  <c r="CR18" i="70"/>
  <c r="AG18" i="70"/>
  <c r="CM18" i="70"/>
  <c r="AM18" i="70"/>
  <c r="CO18" i="70"/>
  <c r="CN18" i="70"/>
  <c r="CE18" i="70"/>
  <c r="CD18" i="70"/>
  <c r="BT18" i="70"/>
  <c r="AW18" i="70"/>
  <c r="AV18" i="70"/>
  <c r="CH18" i="70"/>
  <c r="BY18" i="70"/>
  <c r="BX18" i="70"/>
  <c r="BW18" i="70"/>
  <c r="BV18" i="70"/>
  <c r="BL18" i="70"/>
  <c r="BN18" i="70"/>
  <c r="CI18" i="70"/>
  <c r="BZ18" i="70"/>
  <c r="BQ18" i="70"/>
  <c r="BP18" i="70"/>
  <c r="BO18" i="70"/>
  <c r="CA17" i="70"/>
  <c r="O17" i="70" s="1"/>
  <c r="AV12" i="23"/>
  <c r="AD12" i="25"/>
  <c r="BA17" i="67"/>
  <c r="N17" i="67" s="1"/>
  <c r="BB17" i="67"/>
  <c r="T12" i="25"/>
  <c r="AN12" i="23"/>
  <c r="Y11" i="25"/>
  <c r="AR11" i="23"/>
  <c r="U13" i="23"/>
  <c r="Z13" i="24" s="1"/>
  <c r="A20" i="67"/>
  <c r="B19" i="67"/>
  <c r="J12" i="25"/>
  <c r="AF12" i="23"/>
  <c r="V12" i="23"/>
  <c r="AA12" i="24" s="1"/>
  <c r="CH18" i="67"/>
  <c r="BI18" i="67"/>
  <c r="AZ18" i="67"/>
  <c r="AQ18" i="67"/>
  <c r="AH18" i="67"/>
  <c r="BL18" i="67"/>
  <c r="AL18" i="67"/>
  <c r="CI18" i="67"/>
  <c r="BZ18" i="67"/>
  <c r="AS18" i="67"/>
  <c r="AR18" i="67"/>
  <c r="AI18" i="67"/>
  <c r="CS18" i="67"/>
  <c r="AV18" i="67"/>
  <c r="AT18" i="67"/>
  <c r="CD18" i="67"/>
  <c r="AO18" i="67"/>
  <c r="CQ18" i="67"/>
  <c r="BJ18" i="67"/>
  <c r="AK18" i="67"/>
  <c r="AJ18" i="67"/>
  <c r="CT18" i="67"/>
  <c r="BU18" i="67"/>
  <c r="AN18" i="67"/>
  <c r="BS18" i="67"/>
  <c r="AW18" i="67"/>
  <c r="CL18" i="67"/>
  <c r="CM18" i="67"/>
  <c r="BK18" i="67"/>
  <c r="CG18" i="67"/>
  <c r="AU18" i="67"/>
  <c r="CW18" i="67"/>
  <c r="CN18" i="67"/>
  <c r="BO18" i="67"/>
  <c r="BN18" i="67"/>
  <c r="AG18" i="67"/>
  <c r="AX18" i="67"/>
  <c r="CV18" i="67"/>
  <c r="CJ18" i="67"/>
  <c r="AM18" i="67"/>
  <c r="BY18" i="67"/>
  <c r="BX18" i="67"/>
  <c r="BG18" i="67"/>
  <c r="CR18" i="67"/>
  <c r="BW18" i="67"/>
  <c r="CP18" i="67"/>
  <c r="BQ18" i="67"/>
  <c r="BP18" i="67"/>
  <c r="AY18" i="67"/>
  <c r="AP18" i="67"/>
  <c r="BT18" i="67"/>
  <c r="D18" i="67"/>
  <c r="X12" i="23" s="1"/>
  <c r="AD12" i="24" s="1"/>
  <c r="CU18" i="67"/>
  <c r="BV18" i="67"/>
  <c r="Q13" i="23"/>
  <c r="U13" i="24" s="1"/>
  <c r="B19" i="66"/>
  <c r="A20" i="66"/>
  <c r="R12" i="23"/>
  <c r="V12" i="24" s="1"/>
  <c r="CJ18" i="66"/>
  <c r="AP18" i="66"/>
  <c r="CR18" i="66"/>
  <c r="AM18" i="66"/>
  <c r="CW18" i="66"/>
  <c r="CV18" i="66"/>
  <c r="AJ18" i="66"/>
  <c r="AI18" i="66"/>
  <c r="BO18" i="66"/>
  <c r="CM18" i="66"/>
  <c r="AH18" i="66"/>
  <c r="BT18" i="66"/>
  <c r="CP18" i="66"/>
  <c r="CO18" i="66"/>
  <c r="CN18" i="66"/>
  <c r="CU18" i="66"/>
  <c r="BX18" i="66"/>
  <c r="CS18" i="66"/>
  <c r="BL18" i="66"/>
  <c r="CH18" i="66"/>
  <c r="BY18" i="66"/>
  <c r="CF18" i="66"/>
  <c r="CE18" i="66"/>
  <c r="BQ18" i="66"/>
  <c r="CI18" i="66"/>
  <c r="CT18" i="66"/>
  <c r="BU18" i="66"/>
  <c r="AV18" i="66"/>
  <c r="BZ18" i="66"/>
  <c r="CQ18" i="66"/>
  <c r="CD18" i="66"/>
  <c r="BM18" i="66"/>
  <c r="AN18" i="66"/>
  <c r="BR18" i="66"/>
  <c r="BI18" i="66"/>
  <c r="BP18" i="66"/>
  <c r="CK18" i="66"/>
  <c r="BV18" i="66"/>
  <c r="AW18" i="66"/>
  <c r="BS18" i="66"/>
  <c r="BJ18" i="66"/>
  <c r="AS18" i="66"/>
  <c r="BH18" i="66"/>
  <c r="BG18" i="66"/>
  <c r="CL18" i="66"/>
  <c r="BN18" i="66"/>
  <c r="AO18" i="66"/>
  <c r="BK18" i="66"/>
  <c r="AT18" i="66"/>
  <c r="AK18" i="66"/>
  <c r="AZ18" i="66"/>
  <c r="AY18" i="66"/>
  <c r="CG18" i="66"/>
  <c r="AX18" i="66"/>
  <c r="AG18" i="66"/>
  <c r="AU18" i="66"/>
  <c r="AL18" i="66"/>
  <c r="D18" i="66"/>
  <c r="T12" i="23" s="1"/>
  <c r="Y12" i="24" s="1"/>
  <c r="AR18" i="66"/>
  <c r="AQ18" i="66"/>
  <c r="BW18" i="66"/>
  <c r="BB17" i="66"/>
  <c r="BA17" i="66"/>
  <c r="N17" i="66" s="1"/>
  <c r="V45" i="72"/>
  <c r="V52" i="72" s="1"/>
  <c r="V45" i="73" s="1"/>
  <c r="CI19" i="68"/>
  <c r="CK19" i="68"/>
  <c r="CG19" i="68"/>
  <c r="CL19" i="68"/>
  <c r="CM19" i="68"/>
  <c r="CQ19" i="68"/>
  <c r="CJ19" i="68"/>
  <c r="CM19" i="71"/>
  <c r="CQ19" i="71"/>
  <c r="CJ19" i="71"/>
  <c r="CI19" i="71"/>
  <c r="CK19" i="71"/>
  <c r="CL19" i="71"/>
  <c r="CK19" i="73"/>
  <c r="CG19" i="73"/>
  <c r="CI19" i="73"/>
  <c r="CL19" i="73"/>
  <c r="CM19" i="73"/>
  <c r="CQ19" i="73"/>
  <c r="CJ19" i="73"/>
  <c r="CI19" i="69"/>
  <c r="CQ19" i="69"/>
  <c r="CJ19" i="69"/>
  <c r="CK19" i="69"/>
  <c r="CL19" i="69"/>
  <c r="CG19" i="69"/>
  <c r="CM19" i="69"/>
  <c r="CJ18" i="72"/>
  <c r="CG18" i="72"/>
  <c r="CK18" i="72"/>
  <c r="CQ18" i="72"/>
  <c r="CL18" i="72"/>
  <c r="CI18" i="72"/>
  <c r="CM18" i="72"/>
  <c r="CI19" i="65"/>
  <c r="CG19" i="65"/>
  <c r="CQ19" i="65"/>
  <c r="CJ19" i="65"/>
  <c r="CK19" i="65"/>
  <c r="CL19" i="65"/>
  <c r="CM19" i="65"/>
  <c r="CI19" i="64"/>
  <c r="CJ19" i="64"/>
  <c r="CG19" i="64"/>
  <c r="CK19" i="64"/>
  <c r="CL19" i="64"/>
  <c r="CQ19" i="64"/>
  <c r="CM19" i="64"/>
  <c r="CI19" i="63"/>
  <c r="CJ19" i="63"/>
  <c r="CK19" i="63"/>
  <c r="CL19" i="63"/>
  <c r="CM19" i="63"/>
  <c r="CG19" i="63"/>
  <c r="CQ19" i="63"/>
  <c r="Q17" i="73"/>
  <c r="CX18" i="73"/>
  <c r="P18" i="73" s="1"/>
  <c r="CA18" i="73"/>
  <c r="O18" i="73" s="1"/>
  <c r="CU19" i="73"/>
  <c r="CE19" i="73"/>
  <c r="BW19" i="73"/>
  <c r="BO19" i="73"/>
  <c r="BG19" i="73"/>
  <c r="AY19" i="73"/>
  <c r="AQ19" i="73"/>
  <c r="AI19" i="73"/>
  <c r="CT19" i="73"/>
  <c r="CD19" i="73"/>
  <c r="BV19" i="73"/>
  <c r="BN19" i="73"/>
  <c r="AX19" i="73"/>
  <c r="AP19" i="73"/>
  <c r="AH19" i="73"/>
  <c r="CS19" i="73"/>
  <c r="BU19" i="73"/>
  <c r="BM19" i="73"/>
  <c r="AW19" i="73"/>
  <c r="AO19" i="73"/>
  <c r="AG19" i="73"/>
  <c r="CR19" i="73"/>
  <c r="BT19" i="73"/>
  <c r="BL19" i="73"/>
  <c r="AV19" i="73"/>
  <c r="AN19" i="73"/>
  <c r="BS19" i="73"/>
  <c r="BK19" i="73"/>
  <c r="AU19" i="73"/>
  <c r="AM19" i="73"/>
  <c r="CP19" i="73"/>
  <c r="CH19" i="73"/>
  <c r="BZ19" i="73"/>
  <c r="BR19" i="73"/>
  <c r="BJ19" i="73"/>
  <c r="AT19" i="73"/>
  <c r="AL19" i="73"/>
  <c r="CW19" i="73"/>
  <c r="CO19" i="73"/>
  <c r="BY19" i="73"/>
  <c r="BQ19" i="73"/>
  <c r="BI19" i="73"/>
  <c r="AS19" i="73"/>
  <c r="AK19" i="73"/>
  <c r="D19" i="73"/>
  <c r="CV19" i="73"/>
  <c r="CN19" i="73"/>
  <c r="CF19" i="73"/>
  <c r="BX19" i="73"/>
  <c r="BP19" i="73"/>
  <c r="BH19" i="73"/>
  <c r="AZ19" i="73"/>
  <c r="AR19" i="73"/>
  <c r="AJ19" i="73"/>
  <c r="B20" i="73"/>
  <c r="AT14" i="23" s="1"/>
  <c r="AA14" i="25" s="1"/>
  <c r="A21" i="73"/>
  <c r="AS15" i="23" s="1"/>
  <c r="Z15" i="25" s="1"/>
  <c r="BB18" i="73"/>
  <c r="BA18" i="73"/>
  <c r="N18" i="73" s="1"/>
  <c r="Y17" i="73" s="1"/>
  <c r="Y40" i="73" s="1"/>
  <c r="BB17" i="72"/>
  <c r="BA17" i="72"/>
  <c r="N17" i="72" s="1"/>
  <c r="CU18" i="72"/>
  <c r="CE18" i="72"/>
  <c r="BW18" i="72"/>
  <c r="BO18" i="72"/>
  <c r="BG18" i="72"/>
  <c r="AY18" i="72"/>
  <c r="AQ18" i="72"/>
  <c r="AI18" i="72"/>
  <c r="CS18" i="72"/>
  <c r="BU18" i="72"/>
  <c r="BM18" i="72"/>
  <c r="AW18" i="72"/>
  <c r="AO18" i="72"/>
  <c r="AG18" i="72"/>
  <c r="CR18" i="72"/>
  <c r="BT18" i="72"/>
  <c r="BL18" i="72"/>
  <c r="AV18" i="72"/>
  <c r="AN18" i="72"/>
  <c r="BS18" i="72"/>
  <c r="BK18" i="72"/>
  <c r="AU18" i="72"/>
  <c r="AM18" i="72"/>
  <c r="CP18" i="72"/>
  <c r="CH18" i="72"/>
  <c r="BZ18" i="72"/>
  <c r="BR18" i="72"/>
  <c r="BJ18" i="72"/>
  <c r="AT18" i="72"/>
  <c r="AL18" i="72"/>
  <c r="CW18" i="72"/>
  <c r="CO18" i="72"/>
  <c r="BY18" i="72"/>
  <c r="BQ18" i="72"/>
  <c r="BI18" i="72"/>
  <c r="AS18" i="72"/>
  <c r="AK18" i="72"/>
  <c r="D18" i="72"/>
  <c r="CV18" i="72"/>
  <c r="CN18" i="72"/>
  <c r="CF18" i="72"/>
  <c r="BX18" i="72"/>
  <c r="BP18" i="72"/>
  <c r="BH18" i="72"/>
  <c r="AZ18" i="72"/>
  <c r="AR18" i="72"/>
  <c r="AJ18" i="72"/>
  <c r="AX18" i="72"/>
  <c r="AP18" i="72"/>
  <c r="BV18" i="72"/>
  <c r="AH18" i="72"/>
  <c r="BN18" i="72"/>
  <c r="CT18" i="72"/>
  <c r="B19" i="72"/>
  <c r="AP13" i="23" s="1"/>
  <c r="V13" i="25" s="1"/>
  <c r="A20" i="72"/>
  <c r="AO14" i="23" s="1"/>
  <c r="U14" i="25" s="1"/>
  <c r="CS19" i="71"/>
  <c r="BU19" i="71"/>
  <c r="BM19" i="71"/>
  <c r="AW19" i="71"/>
  <c r="AO19" i="71"/>
  <c r="AG19" i="71"/>
  <c r="CR19" i="71"/>
  <c r="BL19" i="71"/>
  <c r="AV19" i="71"/>
  <c r="AN19" i="71"/>
  <c r="BS19" i="71"/>
  <c r="BK19" i="71"/>
  <c r="AU19" i="71"/>
  <c r="CP19" i="71"/>
  <c r="CH19" i="71"/>
  <c r="BZ19" i="71"/>
  <c r="BR19" i="71"/>
  <c r="AT19" i="71"/>
  <c r="BI19" i="71"/>
  <c r="AZ19" i="71"/>
  <c r="AL19" i="71"/>
  <c r="BX19" i="71"/>
  <c r="BH19" i="71"/>
  <c r="AY19" i="71"/>
  <c r="AK19" i="71"/>
  <c r="CW19" i="71"/>
  <c r="BW19" i="71"/>
  <c r="BG19" i="71"/>
  <c r="AX19" i="71"/>
  <c r="AJ19" i="71"/>
  <c r="CF19" i="71"/>
  <c r="BV19" i="71"/>
  <c r="AS19" i="71"/>
  <c r="AI19" i="71"/>
  <c r="CU19" i="71"/>
  <c r="CE19" i="71"/>
  <c r="BQ19" i="71"/>
  <c r="AR19" i="71"/>
  <c r="AH19" i="71"/>
  <c r="CT19" i="71"/>
  <c r="CD19" i="71"/>
  <c r="BP19" i="71"/>
  <c r="AQ19" i="71"/>
  <c r="CO19" i="71"/>
  <c r="BO19" i="71"/>
  <c r="AP19" i="71"/>
  <c r="CN19" i="71"/>
  <c r="BN19" i="71"/>
  <c r="AM19" i="71"/>
  <c r="D19" i="71"/>
  <c r="B20" i="71"/>
  <c r="AL14" i="23" s="1"/>
  <c r="Q14" i="25" s="1"/>
  <c r="A21" i="71"/>
  <c r="AK15" i="23" s="1"/>
  <c r="P15" i="25" s="1"/>
  <c r="BB18" i="71"/>
  <c r="BA18" i="71"/>
  <c r="N18" i="71" s="1"/>
  <c r="BB18" i="69"/>
  <c r="BA18" i="69"/>
  <c r="N18" i="69" s="1"/>
  <c r="A21" i="69"/>
  <c r="AC15" i="23" s="1"/>
  <c r="F15" i="25" s="1"/>
  <c r="B20" i="69"/>
  <c r="AD14" i="23" s="1"/>
  <c r="G14" i="25" s="1"/>
  <c r="CP19" i="69"/>
  <c r="CH19" i="69"/>
  <c r="BZ19" i="69"/>
  <c r="BR19" i="69"/>
  <c r="BJ19" i="69"/>
  <c r="AT19" i="69"/>
  <c r="AL19" i="69"/>
  <c r="CW19" i="69"/>
  <c r="CO19" i="69"/>
  <c r="BY19" i="69"/>
  <c r="BQ19" i="69"/>
  <c r="BI19" i="69"/>
  <c r="AS19" i="69"/>
  <c r="AK19" i="69"/>
  <c r="D19" i="69"/>
  <c r="CV19" i="69"/>
  <c r="CF19" i="69"/>
  <c r="BX19" i="69"/>
  <c r="BP19" i="69"/>
  <c r="BH19" i="69"/>
  <c r="AZ19" i="69"/>
  <c r="AR19" i="69"/>
  <c r="AJ19" i="69"/>
  <c r="CU19" i="69"/>
  <c r="CE19" i="69"/>
  <c r="BW19" i="69"/>
  <c r="BO19" i="69"/>
  <c r="BG19" i="69"/>
  <c r="AY19" i="69"/>
  <c r="AQ19" i="69"/>
  <c r="AI19" i="69"/>
  <c r="CT19" i="69"/>
  <c r="BV19" i="69"/>
  <c r="BN19" i="69"/>
  <c r="AX19" i="69"/>
  <c r="AP19" i="69"/>
  <c r="AH19" i="69"/>
  <c r="CS19" i="69"/>
  <c r="BU19" i="69"/>
  <c r="BM19" i="69"/>
  <c r="AW19" i="69"/>
  <c r="AO19" i="69"/>
  <c r="AG19" i="69"/>
  <c r="CR19" i="69"/>
  <c r="BT19" i="69"/>
  <c r="BL19" i="69"/>
  <c r="AV19" i="69"/>
  <c r="AN19" i="69"/>
  <c r="BK19" i="69"/>
  <c r="AU19" i="69"/>
  <c r="AM19" i="69"/>
  <c r="BS19" i="69"/>
  <c r="BB18" i="68"/>
  <c r="BA18" i="68"/>
  <c r="N18" i="68" s="1"/>
  <c r="A21" i="68"/>
  <c r="Y15" i="23" s="1"/>
  <c r="A15" i="25" s="1"/>
  <c r="B20" i="68"/>
  <c r="Z14" i="23" s="1"/>
  <c r="B14" i="25" s="1"/>
  <c r="CP19" i="68"/>
  <c r="CH19" i="68"/>
  <c r="BZ19" i="68"/>
  <c r="BR19" i="68"/>
  <c r="BJ19" i="68"/>
  <c r="AT19" i="68"/>
  <c r="AL19" i="68"/>
  <c r="CW19" i="68"/>
  <c r="CO19" i="68"/>
  <c r="BY19" i="68"/>
  <c r="BQ19" i="68"/>
  <c r="BI19" i="68"/>
  <c r="AS19" i="68"/>
  <c r="AK19" i="68"/>
  <c r="D19" i="68"/>
  <c r="AB13" i="23" s="1"/>
  <c r="E13" i="25" s="1"/>
  <c r="CV19" i="68"/>
  <c r="CN19" i="68"/>
  <c r="CF19" i="68"/>
  <c r="BX19" i="68"/>
  <c r="BP19" i="68"/>
  <c r="BH19" i="68"/>
  <c r="AZ19" i="68"/>
  <c r="AR19" i="68"/>
  <c r="AJ19" i="68"/>
  <c r="CU19" i="68"/>
  <c r="CE19" i="68"/>
  <c r="BW19" i="68"/>
  <c r="BO19" i="68"/>
  <c r="BG19" i="68"/>
  <c r="AY19" i="68"/>
  <c r="AQ19" i="68"/>
  <c r="AI19" i="68"/>
  <c r="BS19" i="68"/>
  <c r="AM19" i="68"/>
  <c r="CT19" i="68"/>
  <c r="CD19" i="68"/>
  <c r="BN19" i="68"/>
  <c r="AX19" i="68"/>
  <c r="AH19" i="68"/>
  <c r="CR19" i="68"/>
  <c r="BL19" i="68"/>
  <c r="AV19" i="68"/>
  <c r="BV19" i="68"/>
  <c r="CS19" i="68"/>
  <c r="BT19" i="68"/>
  <c r="AU19" i="68"/>
  <c r="BM19" i="68"/>
  <c r="AP19" i="68"/>
  <c r="BK19" i="68"/>
  <c r="AO19" i="68"/>
  <c r="AN19" i="68"/>
  <c r="AG19" i="68"/>
  <c r="BU19" i="68"/>
  <c r="AW19" i="68"/>
  <c r="CR19" i="65"/>
  <c r="BT19" i="65"/>
  <c r="BL19" i="65"/>
  <c r="AV19" i="65"/>
  <c r="AN19" i="65"/>
  <c r="BS19" i="65"/>
  <c r="AU19" i="65"/>
  <c r="AM19" i="65"/>
  <c r="CP19" i="65"/>
  <c r="BZ19" i="65"/>
  <c r="BR19" i="65"/>
  <c r="BJ19" i="65"/>
  <c r="AT19" i="65"/>
  <c r="AL19" i="65"/>
  <c r="CV19" i="65"/>
  <c r="CN19" i="65"/>
  <c r="CF19" i="65"/>
  <c r="BX19" i="65"/>
  <c r="BH19" i="65"/>
  <c r="AZ19" i="65"/>
  <c r="AR19" i="65"/>
  <c r="AJ19" i="65"/>
  <c r="CU19" i="65"/>
  <c r="CE19" i="65"/>
  <c r="BW19" i="65"/>
  <c r="BO19" i="65"/>
  <c r="BG19" i="65"/>
  <c r="AY19" i="65"/>
  <c r="AQ19" i="65"/>
  <c r="AI19" i="65"/>
  <c r="CT19" i="65"/>
  <c r="CD19" i="65"/>
  <c r="BV19" i="65"/>
  <c r="CS19" i="65"/>
  <c r="BU19" i="65"/>
  <c r="BM19" i="65"/>
  <c r="BY19" i="65"/>
  <c r="AG19" i="65"/>
  <c r="BQ19" i="65"/>
  <c r="AX19" i="65"/>
  <c r="D19" i="65"/>
  <c r="P13" i="23" s="1"/>
  <c r="T13" i="24" s="1"/>
  <c r="BN19" i="65"/>
  <c r="AW19" i="65"/>
  <c r="CW19" i="65"/>
  <c r="BI19" i="65"/>
  <c r="AS19" i="65"/>
  <c r="CO19" i="65"/>
  <c r="AP19" i="65"/>
  <c r="AO19" i="65"/>
  <c r="AK19" i="65"/>
  <c r="AH19" i="65"/>
  <c r="A21" i="65"/>
  <c r="M15" i="23" s="1"/>
  <c r="P15" i="24" s="1"/>
  <c r="B20" i="65"/>
  <c r="N14" i="23" s="1"/>
  <c r="Q14" i="24" s="1"/>
  <c r="BB18" i="65"/>
  <c r="BA18" i="65"/>
  <c r="N18" i="65" s="1"/>
  <c r="Q16" i="64"/>
  <c r="A21" i="64"/>
  <c r="I15" i="23" s="1"/>
  <c r="K15" i="24" s="1"/>
  <c r="B20" i="64"/>
  <c r="J14" i="23" s="1"/>
  <c r="L14" i="24" s="1"/>
  <c r="BS19" i="64"/>
  <c r="BK19" i="64"/>
  <c r="AU19" i="64"/>
  <c r="AM19" i="64"/>
  <c r="CP19" i="64"/>
  <c r="CH19" i="64"/>
  <c r="BZ19" i="64"/>
  <c r="BR19" i="64"/>
  <c r="BJ19" i="64"/>
  <c r="AT19" i="64"/>
  <c r="AL19" i="64"/>
  <c r="CW19" i="64"/>
  <c r="CO19" i="64"/>
  <c r="BY19" i="64"/>
  <c r="BQ19" i="64"/>
  <c r="BI19" i="64"/>
  <c r="AS19" i="64"/>
  <c r="AK19" i="64"/>
  <c r="D19" i="64"/>
  <c r="L13" i="23" s="1"/>
  <c r="O13" i="24" s="1"/>
  <c r="CV19" i="64"/>
  <c r="CN19" i="64"/>
  <c r="BX19" i="64"/>
  <c r="BP19" i="64"/>
  <c r="AZ19" i="64"/>
  <c r="AR19" i="64"/>
  <c r="AJ19" i="64"/>
  <c r="CU19" i="64"/>
  <c r="BW19" i="64"/>
  <c r="BO19" i="64"/>
  <c r="BG19" i="64"/>
  <c r="AY19" i="64"/>
  <c r="AQ19" i="64"/>
  <c r="AI19" i="64"/>
  <c r="CT19" i="64"/>
  <c r="CD19" i="64"/>
  <c r="BV19" i="64"/>
  <c r="BN19" i="64"/>
  <c r="AX19" i="64"/>
  <c r="AP19" i="64"/>
  <c r="AH19" i="64"/>
  <c r="CS19" i="64"/>
  <c r="BU19" i="64"/>
  <c r="BM19" i="64"/>
  <c r="AW19" i="64"/>
  <c r="AO19" i="64"/>
  <c r="AG19" i="64"/>
  <c r="CR19" i="64"/>
  <c r="BT19" i="64"/>
  <c r="BL19" i="64"/>
  <c r="AV19" i="64"/>
  <c r="AN19" i="64"/>
  <c r="BB18" i="64"/>
  <c r="BA18" i="64"/>
  <c r="N18" i="64" s="1"/>
  <c r="Y17" i="64" s="1"/>
  <c r="CS19" i="63"/>
  <c r="BU19" i="63"/>
  <c r="BM19" i="63"/>
  <c r="AW19" i="63"/>
  <c r="AO19" i="63"/>
  <c r="AG19" i="63"/>
  <c r="CR19" i="63"/>
  <c r="BT19" i="63"/>
  <c r="BL19" i="63"/>
  <c r="AV19" i="63"/>
  <c r="AN19" i="63"/>
  <c r="CW19" i="63"/>
  <c r="BS19" i="63"/>
  <c r="BI19" i="63"/>
  <c r="AQ19" i="63"/>
  <c r="CV19" i="63"/>
  <c r="BR19" i="63"/>
  <c r="BH19" i="63"/>
  <c r="AZ19" i="63"/>
  <c r="AP19" i="63"/>
  <c r="CU19" i="63"/>
  <c r="BQ19" i="63"/>
  <c r="BG19" i="63"/>
  <c r="AY19" i="63"/>
  <c r="AM19" i="63"/>
  <c r="D19" i="63"/>
  <c r="H13" i="23" s="1"/>
  <c r="J13" i="24" s="1"/>
  <c r="CT19" i="63"/>
  <c r="CH19" i="63"/>
  <c r="BZ19" i="63"/>
  <c r="BP19" i="63"/>
  <c r="AX19" i="63"/>
  <c r="AL19" i="63"/>
  <c r="BY19" i="63"/>
  <c r="BO19" i="63"/>
  <c r="AU19" i="63"/>
  <c r="AK19" i="63"/>
  <c r="CP19" i="63"/>
  <c r="CF19" i="63"/>
  <c r="BX19" i="63"/>
  <c r="BN19" i="63"/>
  <c r="AT19" i="63"/>
  <c r="AJ19" i="63"/>
  <c r="CO19" i="63"/>
  <c r="CE19" i="63"/>
  <c r="BW19" i="63"/>
  <c r="BK19" i="63"/>
  <c r="AS19" i="63"/>
  <c r="AI19" i="63"/>
  <c r="CN19" i="63"/>
  <c r="BV19" i="63"/>
  <c r="BJ19" i="63"/>
  <c r="AR19" i="63"/>
  <c r="AH19" i="63"/>
  <c r="BB18" i="63"/>
  <c r="BA18" i="63"/>
  <c r="N18" i="63" s="1"/>
  <c r="Y18" i="63" s="1"/>
  <c r="CA18" i="63"/>
  <c r="O18" i="63" s="1"/>
  <c r="B20" i="63"/>
  <c r="F14" i="23" s="1"/>
  <c r="G14" i="24" s="1"/>
  <c r="A21" i="63"/>
  <c r="E15" i="23" s="1"/>
  <c r="F15" i="24" s="1"/>
  <c r="AH13" i="23" l="1"/>
  <c r="L13" i="25" s="1"/>
  <c r="CL19" i="70"/>
  <c r="BU19" i="70"/>
  <c r="AV19" i="70"/>
  <c r="BZ19" i="70"/>
  <c r="AS19" i="70"/>
  <c r="AZ19" i="70"/>
  <c r="AI19" i="70"/>
  <c r="CM19" i="70"/>
  <c r="CD19" i="70"/>
  <c r="BM19" i="70"/>
  <c r="AN19" i="70"/>
  <c r="BJ19" i="70"/>
  <c r="AK19" i="70"/>
  <c r="AR19" i="70"/>
  <c r="CJ19" i="70"/>
  <c r="BV19" i="70"/>
  <c r="AW19" i="70"/>
  <c r="BS19" i="70"/>
  <c r="AT19" i="70"/>
  <c r="D19" i="70"/>
  <c r="AJ19" i="70"/>
  <c r="BN19" i="70"/>
  <c r="AO19" i="70"/>
  <c r="BK19" i="70"/>
  <c r="AL19" i="70"/>
  <c r="CV19" i="70"/>
  <c r="CU19" i="70"/>
  <c r="AX19" i="70"/>
  <c r="AG19" i="70"/>
  <c r="AU19" i="70"/>
  <c r="CW19" i="70"/>
  <c r="CN19" i="70"/>
  <c r="BO19" i="70"/>
  <c r="AP19" i="70"/>
  <c r="CR19" i="70"/>
  <c r="AM19" i="70"/>
  <c r="BY19" i="70"/>
  <c r="CF19" i="70"/>
  <c r="BG19" i="70"/>
  <c r="CI19" i="70"/>
  <c r="AH19" i="70"/>
  <c r="BT19" i="70"/>
  <c r="CP19" i="70"/>
  <c r="BQ19" i="70"/>
  <c r="BX19" i="70"/>
  <c r="AY19" i="70"/>
  <c r="CK19" i="70"/>
  <c r="CS19" i="70"/>
  <c r="BL19" i="70"/>
  <c r="CH19" i="70"/>
  <c r="BI19" i="70"/>
  <c r="BP19" i="70"/>
  <c r="AQ19" i="70"/>
  <c r="BB18" i="70"/>
  <c r="BA18" i="70"/>
  <c r="N18" i="70" s="1"/>
  <c r="AG14" i="23"/>
  <c r="K14" i="25" s="1"/>
  <c r="B20" i="70"/>
  <c r="A21" i="70"/>
  <c r="CA18" i="70"/>
  <c r="O18" i="70" s="1"/>
  <c r="O12" i="25"/>
  <c r="AJ12" i="23"/>
  <c r="J13" i="25"/>
  <c r="AF13" i="23"/>
  <c r="T13" i="25"/>
  <c r="AN13" i="23"/>
  <c r="AV13" i="23"/>
  <c r="AD13" i="25"/>
  <c r="V13" i="23"/>
  <c r="AA13" i="24" s="1"/>
  <c r="AP19" i="67"/>
  <c r="CR19" i="67"/>
  <c r="CH19" i="67"/>
  <c r="BQ19" i="67"/>
  <c r="BH19" i="67"/>
  <c r="BG19" i="67"/>
  <c r="BR19" i="67"/>
  <c r="AQ19" i="67"/>
  <c r="BX19" i="67"/>
  <c r="AH19" i="67"/>
  <c r="BT19" i="67"/>
  <c r="BZ19" i="67"/>
  <c r="AS19" i="67"/>
  <c r="AZ19" i="67"/>
  <c r="AY19" i="67"/>
  <c r="AK19" i="67"/>
  <c r="BW19" i="67"/>
  <c r="AX19" i="67"/>
  <c r="BY19" i="67"/>
  <c r="CS19" i="67"/>
  <c r="BL19" i="67"/>
  <c r="AR19" i="67"/>
  <c r="CO19" i="67"/>
  <c r="BP19" i="67"/>
  <c r="CI19" i="67"/>
  <c r="CV19" i="67"/>
  <c r="BU19" i="67"/>
  <c r="AV19" i="67"/>
  <c r="BJ19" i="67"/>
  <c r="D19" i="67"/>
  <c r="X13" i="23" s="1"/>
  <c r="AD13" i="24" s="1"/>
  <c r="AJ19" i="67"/>
  <c r="AI19" i="67"/>
  <c r="CW19" i="67"/>
  <c r="BO19" i="67"/>
  <c r="CQ19" i="67"/>
  <c r="CT19" i="67"/>
  <c r="BM19" i="67"/>
  <c r="AN19" i="67"/>
  <c r="AT19" i="67"/>
  <c r="CU19" i="67"/>
  <c r="AO19" i="67"/>
  <c r="CJ19" i="67"/>
  <c r="CD19" i="67"/>
  <c r="AW19" i="67"/>
  <c r="BK19" i="67"/>
  <c r="AL19" i="67"/>
  <c r="CN19" i="67"/>
  <c r="CE19" i="67"/>
  <c r="BV19" i="67"/>
  <c r="CK19" i="67"/>
  <c r="AU19" i="67"/>
  <c r="AM19" i="67"/>
  <c r="CM19" i="67"/>
  <c r="AG19" i="67"/>
  <c r="BA18" i="67"/>
  <c r="N18" i="67" s="1"/>
  <c r="BB18" i="67"/>
  <c r="U14" i="23"/>
  <c r="Z14" i="24" s="1"/>
  <c r="A21" i="67"/>
  <c r="B20" i="67"/>
  <c r="AR12" i="23"/>
  <c r="Y12" i="25"/>
  <c r="CA18" i="66"/>
  <c r="O18" i="66" s="1"/>
  <c r="BB18" i="66"/>
  <c r="BA18" i="66"/>
  <c r="N18" i="66" s="1"/>
  <c r="Q14" i="23"/>
  <c r="U14" i="24" s="1"/>
  <c r="A21" i="66"/>
  <c r="B20" i="66"/>
  <c r="R13" i="23"/>
  <c r="V13" i="24" s="1"/>
  <c r="CJ19" i="66"/>
  <c r="AK19" i="66"/>
  <c r="AZ19" i="66"/>
  <c r="AY19" i="66"/>
  <c r="AH19" i="66"/>
  <c r="BT19" i="66"/>
  <c r="CP19" i="66"/>
  <c r="AN19" i="66"/>
  <c r="BJ19" i="66"/>
  <c r="CK19" i="66"/>
  <c r="D19" i="66"/>
  <c r="T13" i="23" s="1"/>
  <c r="Y13" i="24" s="1"/>
  <c r="AR19" i="66"/>
  <c r="AQ19" i="66"/>
  <c r="CS19" i="66"/>
  <c r="BL19" i="66"/>
  <c r="CH19" i="66"/>
  <c r="BR19" i="66"/>
  <c r="CG19" i="66"/>
  <c r="CW19" i="66"/>
  <c r="CV19" i="66"/>
  <c r="AJ19" i="66"/>
  <c r="AI19" i="66"/>
  <c r="BU19" i="66"/>
  <c r="AV19" i="66"/>
  <c r="BZ19" i="66"/>
  <c r="BS19" i="66"/>
  <c r="CL19" i="66"/>
  <c r="CO19" i="66"/>
  <c r="CN19" i="66"/>
  <c r="CU19" i="66"/>
  <c r="CT19" i="66"/>
  <c r="BM19" i="66"/>
  <c r="AW19" i="66"/>
  <c r="CM19" i="66"/>
  <c r="BY19" i="66"/>
  <c r="CF19" i="66"/>
  <c r="CE19" i="66"/>
  <c r="BV19" i="66"/>
  <c r="BQ19" i="66"/>
  <c r="BX19" i="66"/>
  <c r="BW19" i="66"/>
  <c r="BN19" i="66"/>
  <c r="AO19" i="66"/>
  <c r="BK19" i="66"/>
  <c r="AT19" i="66"/>
  <c r="AL19" i="66"/>
  <c r="AM19" i="66"/>
  <c r="BI19" i="66"/>
  <c r="BP19" i="66"/>
  <c r="BO19" i="66"/>
  <c r="AX19" i="66"/>
  <c r="AG19" i="66"/>
  <c r="AU19" i="66"/>
  <c r="CR19" i="66"/>
  <c r="CQ19" i="66"/>
  <c r="AS19" i="66"/>
  <c r="BH19" i="66"/>
  <c r="BG19" i="66"/>
  <c r="AP19" i="66"/>
  <c r="V46" i="73"/>
  <c r="V53" i="73" s="1"/>
  <c r="G42" i="50"/>
  <c r="CI20" i="68"/>
  <c r="CG20" i="68"/>
  <c r="CJ20" i="68"/>
  <c r="CK20" i="68"/>
  <c r="CL20" i="68"/>
  <c r="CQ20" i="68"/>
  <c r="CM20" i="68"/>
  <c r="CI20" i="69"/>
  <c r="CJ20" i="69"/>
  <c r="CK20" i="69"/>
  <c r="CL20" i="69"/>
  <c r="CQ20" i="69"/>
  <c r="CM20" i="69"/>
  <c r="CG20" i="69"/>
  <c r="CI19" i="72"/>
  <c r="CJ19" i="72"/>
  <c r="CK19" i="72"/>
  <c r="CL19" i="72"/>
  <c r="CM19" i="72"/>
  <c r="CG19" i="72"/>
  <c r="CQ19" i="72"/>
  <c r="CJ20" i="71"/>
  <c r="CK20" i="71"/>
  <c r="CL20" i="71"/>
  <c r="CQ20" i="71"/>
  <c r="CM20" i="71"/>
  <c r="CI20" i="71"/>
  <c r="CG20" i="71"/>
  <c r="CG20" i="73"/>
  <c r="CI20" i="73"/>
  <c r="CJ20" i="73"/>
  <c r="CK20" i="73"/>
  <c r="CL20" i="73"/>
  <c r="CQ20" i="73"/>
  <c r="CM20" i="73"/>
  <c r="CI20" i="65"/>
  <c r="CJ20" i="65"/>
  <c r="CK20" i="65"/>
  <c r="CL20" i="65"/>
  <c r="CG20" i="65"/>
  <c r="CM20" i="65"/>
  <c r="CQ20" i="65"/>
  <c r="CI20" i="64"/>
  <c r="CL20" i="64"/>
  <c r="CM20" i="64"/>
  <c r="CQ20" i="64"/>
  <c r="CJ20" i="64"/>
  <c r="CK20" i="64"/>
  <c r="CI20" i="63"/>
  <c r="CJ20" i="63"/>
  <c r="CK20" i="63"/>
  <c r="CL20" i="63"/>
  <c r="CM20" i="63"/>
  <c r="CG20" i="63"/>
  <c r="CQ20" i="63"/>
  <c r="CX19" i="73"/>
  <c r="P19" i="73" s="1"/>
  <c r="CX19" i="68"/>
  <c r="P19" i="68" s="1"/>
  <c r="Q18" i="73"/>
  <c r="B21" i="73"/>
  <c r="AT15" i="23" s="1"/>
  <c r="AA15" i="25" s="1"/>
  <c r="A22" i="73"/>
  <c r="AS16" i="23" s="1"/>
  <c r="Z16" i="25" s="1"/>
  <c r="CA19" i="73"/>
  <c r="O19" i="73" s="1"/>
  <c r="CP20" i="73"/>
  <c r="CH20" i="73"/>
  <c r="BZ20" i="73"/>
  <c r="BR20" i="73"/>
  <c r="BJ20" i="73"/>
  <c r="AT20" i="73"/>
  <c r="AL20" i="73"/>
  <c r="CW20" i="73"/>
  <c r="CO20" i="73"/>
  <c r="BY20" i="73"/>
  <c r="BQ20" i="73"/>
  <c r="BI20" i="73"/>
  <c r="AS20" i="73"/>
  <c r="AK20" i="73"/>
  <c r="D20" i="73"/>
  <c r="CV20" i="73"/>
  <c r="CN20" i="73"/>
  <c r="CF20" i="73"/>
  <c r="BX20" i="73"/>
  <c r="BP20" i="73"/>
  <c r="BH20" i="73"/>
  <c r="AZ20" i="73"/>
  <c r="AR20" i="73"/>
  <c r="AJ20" i="73"/>
  <c r="CU20" i="73"/>
  <c r="CE20" i="73"/>
  <c r="BW20" i="73"/>
  <c r="BO20" i="73"/>
  <c r="BG20" i="73"/>
  <c r="AY20" i="73"/>
  <c r="AQ20" i="73"/>
  <c r="AI20" i="73"/>
  <c r="CT20" i="73"/>
  <c r="CD20" i="73"/>
  <c r="BV20" i="73"/>
  <c r="BN20" i="73"/>
  <c r="AX20" i="73"/>
  <c r="AP20" i="73"/>
  <c r="AH20" i="73"/>
  <c r="CS20" i="73"/>
  <c r="BU20" i="73"/>
  <c r="BM20" i="73"/>
  <c r="AW20" i="73"/>
  <c r="AO20" i="73"/>
  <c r="AG20" i="73"/>
  <c r="CR20" i="73"/>
  <c r="BT20" i="73"/>
  <c r="BL20" i="73"/>
  <c r="AV20" i="73"/>
  <c r="AN20" i="73"/>
  <c r="BS20" i="73"/>
  <c r="BK20" i="73"/>
  <c r="AU20" i="73"/>
  <c r="AM20" i="73"/>
  <c r="BB19" i="73"/>
  <c r="BA19" i="73"/>
  <c r="N19" i="73" s="1"/>
  <c r="A21" i="72"/>
  <c r="AO15" i="23" s="1"/>
  <c r="U15" i="25" s="1"/>
  <c r="B20" i="72"/>
  <c r="AP14" i="23" s="1"/>
  <c r="V14" i="25" s="1"/>
  <c r="CP19" i="72"/>
  <c r="CH19" i="72"/>
  <c r="BZ19" i="72"/>
  <c r="BR19" i="72"/>
  <c r="BJ19" i="72"/>
  <c r="AT19" i="72"/>
  <c r="AL19" i="72"/>
  <c r="CV19" i="72"/>
  <c r="CN19" i="72"/>
  <c r="CF19" i="72"/>
  <c r="BX19" i="72"/>
  <c r="BP19" i="72"/>
  <c r="BH19" i="72"/>
  <c r="AZ19" i="72"/>
  <c r="AR19" i="72"/>
  <c r="AJ19" i="72"/>
  <c r="CU19" i="72"/>
  <c r="BW19" i="72"/>
  <c r="BO19" i="72"/>
  <c r="BG19" i="72"/>
  <c r="AY19" i="72"/>
  <c r="AQ19" i="72"/>
  <c r="AI19" i="72"/>
  <c r="CT19" i="72"/>
  <c r="CD19" i="72"/>
  <c r="BV19" i="72"/>
  <c r="BN19" i="72"/>
  <c r="AX19" i="72"/>
  <c r="AP19" i="72"/>
  <c r="AH19" i="72"/>
  <c r="CS19" i="72"/>
  <c r="BU19" i="72"/>
  <c r="BM19" i="72"/>
  <c r="AW19" i="72"/>
  <c r="AO19" i="72"/>
  <c r="AG19" i="72"/>
  <c r="CR19" i="72"/>
  <c r="BT19" i="72"/>
  <c r="BL19" i="72"/>
  <c r="AV19" i="72"/>
  <c r="AN19" i="72"/>
  <c r="BS19" i="72"/>
  <c r="BK19" i="72"/>
  <c r="AU19" i="72"/>
  <c r="AM19" i="72"/>
  <c r="BY19" i="72"/>
  <c r="AS19" i="72"/>
  <c r="BQ19" i="72"/>
  <c r="AK19" i="72"/>
  <c r="BI19" i="72"/>
  <c r="D19" i="72"/>
  <c r="CW19" i="72"/>
  <c r="CO19" i="72"/>
  <c r="BB18" i="72"/>
  <c r="BA18" i="72"/>
  <c r="N18" i="72" s="1"/>
  <c r="Y18" i="72" s="1"/>
  <c r="CA18" i="72"/>
  <c r="O18" i="72" s="1"/>
  <c r="BB19" i="71"/>
  <c r="BA19" i="71"/>
  <c r="N19" i="71" s="1"/>
  <c r="B21" i="71"/>
  <c r="AL15" i="23" s="1"/>
  <c r="Q15" i="25" s="1"/>
  <c r="A22" i="71"/>
  <c r="AK16" i="23" s="1"/>
  <c r="P16" i="25" s="1"/>
  <c r="CT20" i="71"/>
  <c r="CD20" i="71"/>
  <c r="BV20" i="71"/>
  <c r="BN20" i="71"/>
  <c r="AX20" i="71"/>
  <c r="AP20" i="71"/>
  <c r="AH20" i="71"/>
  <c r="CS20" i="71"/>
  <c r="BM20" i="71"/>
  <c r="AW20" i="71"/>
  <c r="AO20" i="71"/>
  <c r="AG20" i="71"/>
  <c r="CU20" i="71"/>
  <c r="BP20" i="71"/>
  <c r="AV20" i="71"/>
  <c r="AL20" i="71"/>
  <c r="BY20" i="71"/>
  <c r="BO20" i="71"/>
  <c r="AU20" i="71"/>
  <c r="AK20" i="71"/>
  <c r="BX20" i="71"/>
  <c r="BL20" i="71"/>
  <c r="AT20" i="71"/>
  <c r="AJ20" i="71"/>
  <c r="CP20" i="71"/>
  <c r="CF20" i="71"/>
  <c r="BW20" i="71"/>
  <c r="AS20" i="71"/>
  <c r="AI20" i="71"/>
  <c r="CV20" i="71"/>
  <c r="BG20" i="71"/>
  <c r="AY20" i="71"/>
  <c r="D20" i="71"/>
  <c r="CO20" i="71"/>
  <c r="BT20" i="71"/>
  <c r="AR20" i="71"/>
  <c r="CN20" i="71"/>
  <c r="BS20" i="71"/>
  <c r="AQ20" i="71"/>
  <c r="BR20" i="71"/>
  <c r="AN20" i="71"/>
  <c r="BQ20" i="71"/>
  <c r="AM20" i="71"/>
  <c r="CE20" i="71"/>
  <c r="BJ20" i="71"/>
  <c r="BI20" i="71"/>
  <c r="BH20" i="71"/>
  <c r="AZ20" i="71"/>
  <c r="BB19" i="69"/>
  <c r="BA19" i="69"/>
  <c r="N19" i="69" s="1"/>
  <c r="CS20" i="69"/>
  <c r="BU20" i="69"/>
  <c r="BM20" i="69"/>
  <c r="AW20" i="69"/>
  <c r="AO20" i="69"/>
  <c r="AG20" i="69"/>
  <c r="CR20" i="69"/>
  <c r="BT20" i="69"/>
  <c r="BL20" i="69"/>
  <c r="AV20" i="69"/>
  <c r="AN20" i="69"/>
  <c r="BS20" i="69"/>
  <c r="BK20" i="69"/>
  <c r="AU20" i="69"/>
  <c r="AM20" i="69"/>
  <c r="CP20" i="69"/>
  <c r="CH20" i="69"/>
  <c r="BZ20" i="69"/>
  <c r="BR20" i="69"/>
  <c r="BJ20" i="69"/>
  <c r="AT20" i="69"/>
  <c r="AL20" i="69"/>
  <c r="CW20" i="69"/>
  <c r="BY20" i="69"/>
  <c r="BQ20" i="69"/>
  <c r="BI20" i="69"/>
  <c r="AS20" i="69"/>
  <c r="AK20" i="69"/>
  <c r="D20" i="69"/>
  <c r="CV20" i="69"/>
  <c r="CN20" i="69"/>
  <c r="CF20" i="69"/>
  <c r="BX20" i="69"/>
  <c r="BP20" i="69"/>
  <c r="BH20" i="69"/>
  <c r="AZ20" i="69"/>
  <c r="AR20" i="69"/>
  <c r="AJ20" i="69"/>
  <c r="CU20" i="69"/>
  <c r="BW20" i="69"/>
  <c r="BO20" i="69"/>
  <c r="BG20" i="69"/>
  <c r="AY20" i="69"/>
  <c r="AQ20" i="69"/>
  <c r="AI20" i="69"/>
  <c r="BN20" i="69"/>
  <c r="CT20" i="69"/>
  <c r="CD20" i="69"/>
  <c r="AX20" i="69"/>
  <c r="AP20" i="69"/>
  <c r="AH20" i="69"/>
  <c r="BV20" i="69"/>
  <c r="B21" i="69"/>
  <c r="AD15" i="23" s="1"/>
  <c r="G15" i="25" s="1"/>
  <c r="A22" i="69"/>
  <c r="AC16" i="23" s="1"/>
  <c r="F16" i="25" s="1"/>
  <c r="CA19" i="69"/>
  <c r="O19" i="69" s="1"/>
  <c r="BB19" i="68"/>
  <c r="BA19" i="68"/>
  <c r="N19" i="68" s="1"/>
  <c r="CS20" i="68"/>
  <c r="BU20" i="68"/>
  <c r="BM20" i="68"/>
  <c r="AW20" i="68"/>
  <c r="AO20" i="68"/>
  <c r="AG20" i="68"/>
  <c r="CR20" i="68"/>
  <c r="BT20" i="68"/>
  <c r="BL20" i="68"/>
  <c r="AV20" i="68"/>
  <c r="AN20" i="68"/>
  <c r="BS20" i="68"/>
  <c r="BK20" i="68"/>
  <c r="AU20" i="68"/>
  <c r="AM20" i="68"/>
  <c r="CP20" i="68"/>
  <c r="CH20" i="68"/>
  <c r="BZ20" i="68"/>
  <c r="BR20" i="68"/>
  <c r="BJ20" i="68"/>
  <c r="AT20" i="68"/>
  <c r="AL20" i="68"/>
  <c r="CN20" i="68"/>
  <c r="BN20" i="68"/>
  <c r="AK20" i="68"/>
  <c r="BY20" i="68"/>
  <c r="BI20" i="68"/>
  <c r="AZ20" i="68"/>
  <c r="AJ20" i="68"/>
  <c r="CW20" i="68"/>
  <c r="BW20" i="68"/>
  <c r="BG20" i="68"/>
  <c r="AX20" i="68"/>
  <c r="AH20" i="68"/>
  <c r="CU20" i="68"/>
  <c r="CE20" i="68"/>
  <c r="BQ20" i="68"/>
  <c r="AR20" i="68"/>
  <c r="CO20" i="68"/>
  <c r="BO20" i="68"/>
  <c r="AP20" i="68"/>
  <c r="BX20" i="68"/>
  <c r="AY20" i="68"/>
  <c r="CV20" i="68"/>
  <c r="BV20" i="68"/>
  <c r="AS20" i="68"/>
  <c r="CT20" i="68"/>
  <c r="BP20" i="68"/>
  <c r="AQ20" i="68"/>
  <c r="BH20" i="68"/>
  <c r="AI20" i="68"/>
  <c r="CF20" i="68"/>
  <c r="D20" i="68"/>
  <c r="AB14" i="23" s="1"/>
  <c r="E14" i="25" s="1"/>
  <c r="CD20" i="68"/>
  <c r="B21" i="68"/>
  <c r="Z15" i="23" s="1"/>
  <c r="B15" i="25" s="1"/>
  <c r="A22" i="68"/>
  <c r="Y16" i="23" s="1"/>
  <c r="A16" i="25" s="1"/>
  <c r="CA19" i="68"/>
  <c r="O19" i="68" s="1"/>
  <c r="BB19" i="65"/>
  <c r="BA19" i="65"/>
  <c r="N19" i="65" s="1"/>
  <c r="CU20" i="65"/>
  <c r="CE20" i="65"/>
  <c r="BW20" i="65"/>
  <c r="BO20" i="65"/>
  <c r="BG20" i="65"/>
  <c r="AY20" i="65"/>
  <c r="AQ20" i="65"/>
  <c r="AI20" i="65"/>
  <c r="CT20" i="65"/>
  <c r="CD20" i="65"/>
  <c r="BV20" i="65"/>
  <c r="BN20" i="65"/>
  <c r="AX20" i="65"/>
  <c r="AP20" i="65"/>
  <c r="AH20" i="65"/>
  <c r="CS20" i="65"/>
  <c r="BU20" i="65"/>
  <c r="BM20" i="65"/>
  <c r="AW20" i="65"/>
  <c r="AO20" i="65"/>
  <c r="AG20" i="65"/>
  <c r="CR20" i="65"/>
  <c r="BT20" i="65"/>
  <c r="BL20" i="65"/>
  <c r="AV20" i="65"/>
  <c r="AN20" i="65"/>
  <c r="BS20" i="65"/>
  <c r="BK20" i="65"/>
  <c r="AU20" i="65"/>
  <c r="AM20" i="65"/>
  <c r="CP20" i="65"/>
  <c r="CH20" i="65"/>
  <c r="BZ20" i="65"/>
  <c r="BR20" i="65"/>
  <c r="BJ20" i="65"/>
  <c r="AT20" i="65"/>
  <c r="AL20" i="65"/>
  <c r="CW20" i="65"/>
  <c r="CO20" i="65"/>
  <c r="BY20" i="65"/>
  <c r="BQ20" i="65"/>
  <c r="BI20" i="65"/>
  <c r="AS20" i="65"/>
  <c r="AK20" i="65"/>
  <c r="D20" i="65"/>
  <c r="P14" i="23" s="1"/>
  <c r="T14" i="24" s="1"/>
  <c r="CV20" i="65"/>
  <c r="CN20" i="65"/>
  <c r="CF20" i="65"/>
  <c r="BX20" i="65"/>
  <c r="BP20" i="65"/>
  <c r="BH20" i="65"/>
  <c r="AZ20" i="65"/>
  <c r="AR20" i="65"/>
  <c r="AJ20" i="65"/>
  <c r="B21" i="65"/>
  <c r="N15" i="23" s="1"/>
  <c r="Q15" i="24" s="1"/>
  <c r="A22" i="65"/>
  <c r="M16" i="23" s="1"/>
  <c r="P16" i="24" s="1"/>
  <c r="CT20" i="64"/>
  <c r="CD20" i="64"/>
  <c r="BV20" i="64"/>
  <c r="BN20" i="64"/>
  <c r="AX20" i="64"/>
  <c r="AP20" i="64"/>
  <c r="AH20" i="64"/>
  <c r="CS20" i="64"/>
  <c r="BU20" i="64"/>
  <c r="BM20" i="64"/>
  <c r="AW20" i="64"/>
  <c r="AO20" i="64"/>
  <c r="AG20" i="64"/>
  <c r="CR20" i="64"/>
  <c r="BT20" i="64"/>
  <c r="BL20" i="64"/>
  <c r="AV20" i="64"/>
  <c r="AN20" i="64"/>
  <c r="BS20" i="64"/>
  <c r="BK20" i="64"/>
  <c r="AU20" i="64"/>
  <c r="AM20" i="64"/>
  <c r="CP20" i="64"/>
  <c r="CH20" i="64"/>
  <c r="BZ20" i="64"/>
  <c r="BR20" i="64"/>
  <c r="BJ20" i="64"/>
  <c r="AT20" i="64"/>
  <c r="AL20" i="64"/>
  <c r="CW20" i="64"/>
  <c r="CO20" i="64"/>
  <c r="BY20" i="64"/>
  <c r="BQ20" i="64"/>
  <c r="AS20" i="64"/>
  <c r="AK20" i="64"/>
  <c r="D20" i="64"/>
  <c r="L14" i="23" s="1"/>
  <c r="O14" i="24" s="1"/>
  <c r="CV20" i="64"/>
  <c r="CN20" i="64"/>
  <c r="BX20" i="64"/>
  <c r="BP20" i="64"/>
  <c r="BH20" i="64"/>
  <c r="AZ20" i="64"/>
  <c r="AR20" i="64"/>
  <c r="AJ20" i="64"/>
  <c r="CU20" i="64"/>
  <c r="CE20" i="64"/>
  <c r="BW20" i="64"/>
  <c r="BO20" i="64"/>
  <c r="BG20" i="64"/>
  <c r="AY20" i="64"/>
  <c r="AQ20" i="64"/>
  <c r="AI20" i="64"/>
  <c r="B21" i="64"/>
  <c r="J15" i="23" s="1"/>
  <c r="L15" i="24" s="1"/>
  <c r="A22" i="64"/>
  <c r="I16" i="23" s="1"/>
  <c r="K16" i="24" s="1"/>
  <c r="BB19" i="64"/>
  <c r="BA19" i="64"/>
  <c r="N19" i="64" s="1"/>
  <c r="B21" i="63"/>
  <c r="F15" i="23" s="1"/>
  <c r="G15" i="24" s="1"/>
  <c r="A22" i="63"/>
  <c r="E16" i="23" s="1"/>
  <c r="F16" i="24" s="1"/>
  <c r="CV20" i="63"/>
  <c r="CN20" i="63"/>
  <c r="CF20" i="63"/>
  <c r="BX20" i="63"/>
  <c r="BP20" i="63"/>
  <c r="BH20" i="63"/>
  <c r="AZ20" i="63"/>
  <c r="AR20" i="63"/>
  <c r="AJ20" i="63"/>
  <c r="CU20" i="63"/>
  <c r="BW20" i="63"/>
  <c r="BO20" i="63"/>
  <c r="AY20" i="63"/>
  <c r="AQ20" i="63"/>
  <c r="AI20" i="63"/>
  <c r="CS20" i="63"/>
  <c r="BU20" i="63"/>
  <c r="BM20" i="63"/>
  <c r="AW20" i="63"/>
  <c r="AO20" i="63"/>
  <c r="AG20" i="63"/>
  <c r="CR20" i="63"/>
  <c r="BT20" i="63"/>
  <c r="BI20" i="63"/>
  <c r="AV20" i="63"/>
  <c r="AK20" i="63"/>
  <c r="BS20" i="63"/>
  <c r="AU20" i="63"/>
  <c r="AH20" i="63"/>
  <c r="CW20" i="63"/>
  <c r="BR20" i="63"/>
  <c r="AT20" i="63"/>
  <c r="CT20" i="63"/>
  <c r="BQ20" i="63"/>
  <c r="AS20" i="63"/>
  <c r="CP20" i="63"/>
  <c r="BN20" i="63"/>
  <c r="AP20" i="63"/>
  <c r="CO20" i="63"/>
  <c r="BZ20" i="63"/>
  <c r="BL20" i="63"/>
  <c r="AN20" i="63"/>
  <c r="D20" i="63"/>
  <c r="H14" i="23" s="1"/>
  <c r="J14" i="24" s="1"/>
  <c r="BY20" i="63"/>
  <c r="BK20" i="63"/>
  <c r="AM20" i="63"/>
  <c r="CH20" i="63"/>
  <c r="BV20" i="63"/>
  <c r="BJ20" i="63"/>
  <c r="AX20" i="63"/>
  <c r="AL20" i="63"/>
  <c r="BB19" i="63"/>
  <c r="BA19" i="63"/>
  <c r="N19" i="63" s="1"/>
  <c r="Y19" i="63" s="1"/>
  <c r="CA19" i="63"/>
  <c r="O19" i="63" s="1"/>
  <c r="BB19" i="70" l="1"/>
  <c r="BA19" i="70"/>
  <c r="N19" i="70" s="1"/>
  <c r="O13" i="25"/>
  <c r="AJ13" i="23"/>
  <c r="AG15" i="23"/>
  <c r="K15" i="25" s="1"/>
  <c r="B21" i="70"/>
  <c r="A22" i="70"/>
  <c r="AH14" i="23"/>
  <c r="L14" i="25" s="1"/>
  <c r="AJ20" i="70"/>
  <c r="BU20" i="70"/>
  <c r="CO20" i="70"/>
  <c r="BQ20" i="70"/>
  <c r="CS20" i="70"/>
  <c r="CI20" i="70"/>
  <c r="CE20" i="70"/>
  <c r="BK20" i="70"/>
  <c r="AW20" i="70"/>
  <c r="AU20" i="70"/>
  <c r="BY20" i="70"/>
  <c r="CJ20" i="70"/>
  <c r="CV20" i="70"/>
  <c r="BW20" i="70"/>
  <c r="AO20" i="70"/>
  <c r="AM20" i="70"/>
  <c r="AK20" i="70"/>
  <c r="BM20" i="70"/>
  <c r="CK20" i="70"/>
  <c r="CN20" i="70"/>
  <c r="BO20" i="70"/>
  <c r="CD20" i="70"/>
  <c r="D20" i="70"/>
  <c r="CT20" i="70"/>
  <c r="AS20" i="70"/>
  <c r="CL20" i="70"/>
  <c r="BP20" i="70"/>
  <c r="BG20" i="70"/>
  <c r="BT20" i="70"/>
  <c r="BR20" i="70"/>
  <c r="BZ20" i="70"/>
  <c r="AG20" i="70"/>
  <c r="CG20" i="70"/>
  <c r="BH20" i="70"/>
  <c r="AY20" i="70"/>
  <c r="BJ20" i="70"/>
  <c r="AV20" i="70"/>
  <c r="BN20" i="70"/>
  <c r="BV20" i="70"/>
  <c r="CM20" i="70"/>
  <c r="AZ20" i="70"/>
  <c r="AQ20" i="70"/>
  <c r="AX20" i="70"/>
  <c r="AL20" i="70"/>
  <c r="AT20" i="70"/>
  <c r="BL20" i="70"/>
  <c r="CQ20" i="70"/>
  <c r="AR20" i="70"/>
  <c r="AI20" i="70"/>
  <c r="AN20" i="70"/>
  <c r="CW20" i="70"/>
  <c r="AH20" i="70"/>
  <c r="AP20" i="70"/>
  <c r="J14" i="25"/>
  <c r="AF14" i="23"/>
  <c r="BA19" i="67"/>
  <c r="N19" i="67" s="1"/>
  <c r="BB19" i="67"/>
  <c r="V14" i="23"/>
  <c r="AA14" i="24" s="1"/>
  <c r="CQ20" i="67"/>
  <c r="BL20" i="67"/>
  <c r="BR20" i="67"/>
  <c r="AO20" i="67"/>
  <c r="BY20" i="67"/>
  <c r="CP20" i="67"/>
  <c r="BV20" i="67"/>
  <c r="AG20" i="67"/>
  <c r="BH20" i="67"/>
  <c r="CF20" i="67"/>
  <c r="BG20" i="67"/>
  <c r="CO20" i="67"/>
  <c r="AQ20" i="67"/>
  <c r="CJ20" i="67"/>
  <c r="AV20" i="67"/>
  <c r="D20" i="67"/>
  <c r="X14" i="23" s="1"/>
  <c r="AD14" i="24" s="1"/>
  <c r="AW20" i="67"/>
  <c r="AR20" i="67"/>
  <c r="AM20" i="67"/>
  <c r="BI20" i="67"/>
  <c r="AY20" i="67"/>
  <c r="AJ20" i="67"/>
  <c r="CK20" i="67"/>
  <c r="AN20" i="67"/>
  <c r="AZ20" i="67"/>
  <c r="CU20" i="67"/>
  <c r="AK20" i="67"/>
  <c r="BW20" i="67"/>
  <c r="AH20" i="67"/>
  <c r="BX20" i="67"/>
  <c r="AI20" i="67"/>
  <c r="BS20" i="67"/>
  <c r="AP20" i="67"/>
  <c r="BZ20" i="67"/>
  <c r="CS20" i="67"/>
  <c r="BM20" i="67"/>
  <c r="CN20" i="67"/>
  <c r="CD20" i="67"/>
  <c r="AT20" i="67"/>
  <c r="BK20" i="67"/>
  <c r="CV20" i="67"/>
  <c r="BP20" i="67"/>
  <c r="AS20" i="67"/>
  <c r="BU20" i="67"/>
  <c r="AL20" i="67"/>
  <c r="AU20" i="67"/>
  <c r="BQ20" i="67"/>
  <c r="AX20" i="67"/>
  <c r="BN20" i="67"/>
  <c r="CW20" i="67"/>
  <c r="CE20" i="67"/>
  <c r="CI20" i="67"/>
  <c r="CR20" i="67"/>
  <c r="CL20" i="67"/>
  <c r="CT20" i="67"/>
  <c r="AN14" i="23"/>
  <c r="T14" i="25"/>
  <c r="AV14" i="23"/>
  <c r="AD14" i="25"/>
  <c r="U15" i="23"/>
  <c r="Z15" i="24" s="1"/>
  <c r="A22" i="67"/>
  <c r="B21" i="67"/>
  <c r="AR13" i="23"/>
  <c r="Y13" i="25"/>
  <c r="CA19" i="66"/>
  <c r="O19" i="66" s="1"/>
  <c r="R14" i="23"/>
  <c r="V14" i="24" s="1"/>
  <c r="AN20" i="66"/>
  <c r="BR20" i="66"/>
  <c r="BI20" i="66"/>
  <c r="BP20" i="66"/>
  <c r="AY20" i="66"/>
  <c r="AH20" i="66"/>
  <c r="BM20" i="66"/>
  <c r="BS20" i="66"/>
  <c r="BJ20" i="66"/>
  <c r="AS20" i="66"/>
  <c r="BH20" i="66"/>
  <c r="AQ20" i="66"/>
  <c r="CS20" i="66"/>
  <c r="CT20" i="66"/>
  <c r="CI20" i="66"/>
  <c r="BK20" i="66"/>
  <c r="AT20" i="66"/>
  <c r="AK20" i="66"/>
  <c r="AZ20" i="66"/>
  <c r="AI20" i="66"/>
  <c r="BU20" i="66"/>
  <c r="D20" i="66"/>
  <c r="T14" i="23" s="1"/>
  <c r="Y14" i="24" s="1"/>
  <c r="AJ20" i="66"/>
  <c r="CK20" i="66"/>
  <c r="AU20" i="66"/>
  <c r="AL20" i="66"/>
  <c r="AR20" i="66"/>
  <c r="BV20" i="66"/>
  <c r="CL20" i="66"/>
  <c r="AM20" i="66"/>
  <c r="CW20" i="66"/>
  <c r="CV20" i="66"/>
  <c r="AW20" i="66"/>
  <c r="CQ20" i="66"/>
  <c r="CR20" i="66"/>
  <c r="CP20" i="66"/>
  <c r="CO20" i="66"/>
  <c r="CN20" i="66"/>
  <c r="CU20" i="66"/>
  <c r="BN20" i="66"/>
  <c r="AO20" i="66"/>
  <c r="BO20" i="66"/>
  <c r="CM20" i="66"/>
  <c r="BT20" i="66"/>
  <c r="CH20" i="66"/>
  <c r="BY20" i="66"/>
  <c r="CF20" i="66"/>
  <c r="BW20" i="66"/>
  <c r="AX20" i="66"/>
  <c r="AG20" i="66"/>
  <c r="AP20" i="66"/>
  <c r="CG20" i="66"/>
  <c r="AV20" i="66"/>
  <c r="BZ20" i="66"/>
  <c r="BQ20" i="66"/>
  <c r="BX20" i="66"/>
  <c r="Q15" i="23"/>
  <c r="U15" i="24" s="1"/>
  <c r="A22" i="66"/>
  <c r="B21" i="66"/>
  <c r="BB19" i="66"/>
  <c r="BA19" i="66"/>
  <c r="N19" i="66" s="1"/>
  <c r="Y18" i="66" s="1"/>
  <c r="CQ20" i="72"/>
  <c r="CI20" i="72"/>
  <c r="CJ20" i="72"/>
  <c r="CK20" i="72"/>
  <c r="CL20" i="72"/>
  <c r="CG20" i="72"/>
  <c r="CM20" i="72"/>
  <c r="D21" i="68"/>
  <c r="AB15" i="23" s="1"/>
  <c r="E15" i="25" s="1"/>
  <c r="CI21" i="68"/>
  <c r="CK21" i="68"/>
  <c r="CL21" i="68"/>
  <c r="CM21" i="68"/>
  <c r="CG21" i="68"/>
  <c r="CQ21" i="68"/>
  <c r="CJ21" i="68"/>
  <c r="CI21" i="69"/>
  <c r="CG21" i="69"/>
  <c r="CQ21" i="69"/>
  <c r="CJ21" i="69"/>
  <c r="CK21" i="69"/>
  <c r="CL21" i="69"/>
  <c r="CM21" i="69"/>
  <c r="CI21" i="71"/>
  <c r="CM21" i="71"/>
  <c r="CQ21" i="71"/>
  <c r="CJ21" i="71"/>
  <c r="CK21" i="71"/>
  <c r="CL21" i="71"/>
  <c r="CG21" i="71"/>
  <c r="CK21" i="73"/>
  <c r="CL21" i="73"/>
  <c r="CM21" i="73"/>
  <c r="CG21" i="73"/>
  <c r="CI21" i="73"/>
  <c r="CQ21" i="73"/>
  <c r="CJ21" i="73"/>
  <c r="CG21" i="65"/>
  <c r="CJ21" i="65"/>
  <c r="CQ21" i="65"/>
  <c r="CK21" i="65"/>
  <c r="CL21" i="65"/>
  <c r="CM21" i="65"/>
  <c r="CI21" i="64"/>
  <c r="CJ21" i="64"/>
  <c r="CK21" i="64"/>
  <c r="CL21" i="64"/>
  <c r="CM21" i="64"/>
  <c r="CQ21" i="64"/>
  <c r="CI21" i="63"/>
  <c r="CJ21" i="63"/>
  <c r="CK21" i="63"/>
  <c r="CL21" i="63"/>
  <c r="CM21" i="63"/>
  <c r="CG21" i="63"/>
  <c r="CQ21" i="63"/>
  <c r="CX20" i="65"/>
  <c r="P20" i="65" s="1"/>
  <c r="CX20" i="68"/>
  <c r="P20" i="68" s="1"/>
  <c r="CX20" i="73"/>
  <c r="P20" i="73" s="1"/>
  <c r="Q19" i="73"/>
  <c r="Q19" i="68"/>
  <c r="A23" i="73"/>
  <c r="AS17" i="23" s="1"/>
  <c r="Z17" i="25" s="1"/>
  <c r="B22" i="73"/>
  <c r="AT16" i="23" s="1"/>
  <c r="AA16" i="25" s="1"/>
  <c r="BB20" i="73"/>
  <c r="BA20" i="73"/>
  <c r="N20" i="73" s="1"/>
  <c r="CA20" i="73"/>
  <c r="O20" i="73" s="1"/>
  <c r="BS21" i="73"/>
  <c r="CW21" i="73"/>
  <c r="CN21" i="73"/>
  <c r="CE21" i="73"/>
  <c r="BV21" i="73"/>
  <c r="BM21" i="73"/>
  <c r="AW21" i="73"/>
  <c r="AO21" i="73"/>
  <c r="AG21" i="73"/>
  <c r="CV21" i="73"/>
  <c r="CD21" i="73"/>
  <c r="BU21" i="73"/>
  <c r="BL21" i="73"/>
  <c r="AV21" i="73"/>
  <c r="AN21" i="73"/>
  <c r="CU21" i="73"/>
  <c r="BT21" i="73"/>
  <c r="BK21" i="73"/>
  <c r="AU21" i="73"/>
  <c r="AM21" i="73"/>
  <c r="CT21" i="73"/>
  <c r="BR21" i="73"/>
  <c r="BJ21" i="73"/>
  <c r="AT21" i="73"/>
  <c r="AL21" i="73"/>
  <c r="CS21" i="73"/>
  <c r="BZ21" i="73"/>
  <c r="BQ21" i="73"/>
  <c r="BI21" i="73"/>
  <c r="AS21" i="73"/>
  <c r="AK21" i="73"/>
  <c r="D21" i="73"/>
  <c r="CR21" i="73"/>
  <c r="CH21" i="73"/>
  <c r="BY21" i="73"/>
  <c r="BP21" i="73"/>
  <c r="BH21" i="73"/>
  <c r="AZ21" i="73"/>
  <c r="AR21" i="73"/>
  <c r="AJ21" i="73"/>
  <c r="CP21" i="73"/>
  <c r="BX21" i="73"/>
  <c r="BO21" i="73"/>
  <c r="BG21" i="73"/>
  <c r="AY21" i="73"/>
  <c r="AQ21" i="73"/>
  <c r="AI21" i="73"/>
  <c r="CO21" i="73"/>
  <c r="CF21" i="73"/>
  <c r="BW21" i="73"/>
  <c r="BN21" i="73"/>
  <c r="AX21" i="73"/>
  <c r="AP21" i="73"/>
  <c r="AH21" i="73"/>
  <c r="CA19" i="72"/>
  <c r="O19" i="72" s="1"/>
  <c r="BB19" i="72"/>
  <c r="BA19" i="72"/>
  <c r="N19" i="72" s="1"/>
  <c r="Y19" i="72" s="1"/>
  <c r="CW20" i="72"/>
  <c r="CO20" i="72"/>
  <c r="BY20" i="72"/>
  <c r="BQ20" i="72"/>
  <c r="CV20" i="72"/>
  <c r="CN20" i="72"/>
  <c r="BX20" i="72"/>
  <c r="BP20" i="72"/>
  <c r="BH20" i="72"/>
  <c r="AZ20" i="72"/>
  <c r="AR20" i="72"/>
  <c r="CU20" i="72"/>
  <c r="CE20" i="72"/>
  <c r="BW20" i="72"/>
  <c r="BO20" i="72"/>
  <c r="AY20" i="72"/>
  <c r="CT20" i="72"/>
  <c r="BU20" i="72"/>
  <c r="BJ20" i="72"/>
  <c r="AX20" i="72"/>
  <c r="AO20" i="72"/>
  <c r="AG20" i="72"/>
  <c r="CR20" i="72"/>
  <c r="BS20" i="72"/>
  <c r="AV20" i="72"/>
  <c r="AM20" i="72"/>
  <c r="BR20" i="72"/>
  <c r="AU20" i="72"/>
  <c r="AL20" i="72"/>
  <c r="CP20" i="72"/>
  <c r="BN20" i="72"/>
  <c r="AT20" i="72"/>
  <c r="AK20" i="72"/>
  <c r="D20" i="72"/>
  <c r="BM20" i="72"/>
  <c r="AS20" i="72"/>
  <c r="AJ20" i="72"/>
  <c r="BZ20" i="72"/>
  <c r="BL20" i="72"/>
  <c r="AQ20" i="72"/>
  <c r="AI20" i="72"/>
  <c r="BK20" i="72"/>
  <c r="AP20" i="72"/>
  <c r="AH20" i="72"/>
  <c r="CH20" i="72"/>
  <c r="AW20" i="72"/>
  <c r="AN20" i="72"/>
  <c r="BT20" i="72"/>
  <c r="BI20" i="72"/>
  <c r="A22" i="72"/>
  <c r="AO16" i="23" s="1"/>
  <c r="U16" i="25" s="1"/>
  <c r="B21" i="72"/>
  <c r="AP15" i="23" s="1"/>
  <c r="V15" i="25" s="1"/>
  <c r="A23" i="71"/>
  <c r="AK17" i="23" s="1"/>
  <c r="P17" i="25" s="1"/>
  <c r="B22" i="71"/>
  <c r="AL16" i="23" s="1"/>
  <c r="Q16" i="25" s="1"/>
  <c r="BB20" i="71"/>
  <c r="BA20" i="71"/>
  <c r="N20" i="71" s="1"/>
  <c r="CW21" i="71"/>
  <c r="CO21" i="71"/>
  <c r="BY21" i="71"/>
  <c r="BQ21" i="71"/>
  <c r="BI21" i="71"/>
  <c r="AS21" i="71"/>
  <c r="AK21" i="71"/>
  <c r="D21" i="71"/>
  <c r="CV21" i="71"/>
  <c r="CF21" i="71"/>
  <c r="BX21" i="71"/>
  <c r="BP21" i="71"/>
  <c r="BH21" i="71"/>
  <c r="AZ21" i="71"/>
  <c r="AR21" i="71"/>
  <c r="AJ21" i="71"/>
  <c r="CR21" i="71"/>
  <c r="CH21" i="71"/>
  <c r="BV21" i="71"/>
  <c r="BL21" i="71"/>
  <c r="AP21" i="71"/>
  <c r="CE21" i="71"/>
  <c r="BU21" i="71"/>
  <c r="BK21" i="71"/>
  <c r="AY21" i="71"/>
  <c r="AO21" i="71"/>
  <c r="CP21" i="71"/>
  <c r="BT21" i="71"/>
  <c r="BJ21" i="71"/>
  <c r="AX21" i="71"/>
  <c r="AN21" i="71"/>
  <c r="BS21" i="71"/>
  <c r="BG21" i="71"/>
  <c r="AW21" i="71"/>
  <c r="AM21" i="71"/>
  <c r="CU21" i="71"/>
  <c r="BO21" i="71"/>
  <c r="CS21" i="71"/>
  <c r="BM21" i="71"/>
  <c r="AQ21" i="71"/>
  <c r="AL21" i="71"/>
  <c r="AI21" i="71"/>
  <c r="AH21" i="71"/>
  <c r="BZ21" i="71"/>
  <c r="AG21" i="71"/>
  <c r="BW21" i="71"/>
  <c r="AV21" i="71"/>
  <c r="CT21" i="71"/>
  <c r="BR21" i="71"/>
  <c r="AU21" i="71"/>
  <c r="BN21" i="71"/>
  <c r="AT21" i="71"/>
  <c r="B22" i="69"/>
  <c r="AD16" i="23" s="1"/>
  <c r="G16" i="25" s="1"/>
  <c r="A23" i="69"/>
  <c r="AC17" i="23" s="1"/>
  <c r="F17" i="25" s="1"/>
  <c r="CA20" i="69"/>
  <c r="O20" i="69" s="1"/>
  <c r="CV21" i="69"/>
  <c r="BX21" i="69"/>
  <c r="BP21" i="69"/>
  <c r="BH21" i="69"/>
  <c r="AZ21" i="69"/>
  <c r="AR21" i="69"/>
  <c r="AJ21" i="69"/>
  <c r="CU21" i="69"/>
  <c r="CE21" i="69"/>
  <c r="BW21" i="69"/>
  <c r="BO21" i="69"/>
  <c r="AY21" i="69"/>
  <c r="AQ21" i="69"/>
  <c r="AI21" i="69"/>
  <c r="CT21" i="69"/>
  <c r="BV21" i="69"/>
  <c r="BN21" i="69"/>
  <c r="AX21" i="69"/>
  <c r="AP21" i="69"/>
  <c r="AH21" i="69"/>
  <c r="CS21" i="69"/>
  <c r="BU21" i="69"/>
  <c r="BM21" i="69"/>
  <c r="AW21" i="69"/>
  <c r="AO21" i="69"/>
  <c r="AG21" i="69"/>
  <c r="CR21" i="69"/>
  <c r="BT21" i="69"/>
  <c r="AV21" i="69"/>
  <c r="AN21" i="69"/>
  <c r="BS21" i="69"/>
  <c r="BK21" i="69"/>
  <c r="AU21" i="69"/>
  <c r="AM21" i="69"/>
  <c r="CH21" i="69"/>
  <c r="BZ21" i="69"/>
  <c r="BR21" i="69"/>
  <c r="BJ21" i="69"/>
  <c r="AT21" i="69"/>
  <c r="AL21" i="69"/>
  <c r="BI21" i="69"/>
  <c r="D21" i="69"/>
  <c r="CW21" i="69"/>
  <c r="CO21" i="69"/>
  <c r="BY21" i="69"/>
  <c r="AS21" i="69"/>
  <c r="AK21" i="69"/>
  <c r="BB20" i="69"/>
  <c r="BA20" i="69"/>
  <c r="N20" i="69" s="1"/>
  <c r="CV21" i="68"/>
  <c r="CN21" i="68"/>
  <c r="CF21" i="68"/>
  <c r="BX21" i="68"/>
  <c r="BP21" i="68"/>
  <c r="BH21" i="68"/>
  <c r="AZ21" i="68"/>
  <c r="AR21" i="68"/>
  <c r="AJ21" i="68"/>
  <c r="CU21" i="68"/>
  <c r="CE21" i="68"/>
  <c r="BW21" i="68"/>
  <c r="BO21" i="68"/>
  <c r="BG21" i="68"/>
  <c r="AY21" i="68"/>
  <c r="AQ21" i="68"/>
  <c r="AI21" i="68"/>
  <c r="CT21" i="68"/>
  <c r="CD21" i="68"/>
  <c r="BV21" i="68"/>
  <c r="BN21" i="68"/>
  <c r="AX21" i="68"/>
  <c r="AP21" i="68"/>
  <c r="AH21" i="68"/>
  <c r="CS21" i="68"/>
  <c r="BU21" i="68"/>
  <c r="BM21" i="68"/>
  <c r="AW21" i="68"/>
  <c r="AO21" i="68"/>
  <c r="AG21" i="68"/>
  <c r="BT21" i="68"/>
  <c r="AT21" i="68"/>
  <c r="CH21" i="68"/>
  <c r="BS21" i="68"/>
  <c r="AS21" i="68"/>
  <c r="CW21" i="68"/>
  <c r="BR21" i="68"/>
  <c r="CR21" i="68"/>
  <c r="BQ21" i="68"/>
  <c r="AM21" i="68"/>
  <c r="BL21" i="68"/>
  <c r="CP21" i="68"/>
  <c r="BK21" i="68"/>
  <c r="AK21" i="68"/>
  <c r="CO21" i="68"/>
  <c r="BZ21" i="68"/>
  <c r="BJ21" i="68"/>
  <c r="AV21" i="68"/>
  <c r="BY21" i="68"/>
  <c r="BI21" i="68"/>
  <c r="AU21" i="68"/>
  <c r="AL21" i="68"/>
  <c r="AN21" i="68"/>
  <c r="CA20" i="68"/>
  <c r="O20" i="68" s="1"/>
  <c r="B22" i="68"/>
  <c r="Z16" i="23" s="1"/>
  <c r="B16" i="25" s="1"/>
  <c r="A23" i="68"/>
  <c r="Y17" i="23" s="1"/>
  <c r="A17" i="25" s="1"/>
  <c r="BB20" i="68"/>
  <c r="BA20" i="68"/>
  <c r="N20" i="68" s="1"/>
  <c r="CA20" i="65"/>
  <c r="O20" i="65" s="1"/>
  <c r="CP21" i="65"/>
  <c r="CH21" i="65"/>
  <c r="BZ21" i="65"/>
  <c r="BR21" i="65"/>
  <c r="BJ21" i="65"/>
  <c r="AT21" i="65"/>
  <c r="AL21" i="65"/>
  <c r="CW21" i="65"/>
  <c r="CO21" i="65"/>
  <c r="BY21" i="65"/>
  <c r="BQ21" i="65"/>
  <c r="BI21" i="65"/>
  <c r="AS21" i="65"/>
  <c r="AK21" i="65"/>
  <c r="D21" i="65"/>
  <c r="P15" i="23" s="1"/>
  <c r="T15" i="24" s="1"/>
  <c r="CV21" i="65"/>
  <c r="CN21" i="65"/>
  <c r="CF21" i="65"/>
  <c r="BX21" i="65"/>
  <c r="BP21" i="65"/>
  <c r="BH21" i="65"/>
  <c r="AZ21" i="65"/>
  <c r="AR21" i="65"/>
  <c r="AJ21" i="65"/>
  <c r="CU21" i="65"/>
  <c r="CE21" i="65"/>
  <c r="BW21" i="65"/>
  <c r="BO21" i="65"/>
  <c r="BG21" i="65"/>
  <c r="AY21" i="65"/>
  <c r="AQ21" i="65"/>
  <c r="AI21" i="65"/>
  <c r="CT21" i="65"/>
  <c r="BV21" i="65"/>
  <c r="BN21" i="65"/>
  <c r="AX21" i="65"/>
  <c r="AP21" i="65"/>
  <c r="AH21" i="65"/>
  <c r="CS21" i="65"/>
  <c r="BU21" i="65"/>
  <c r="BM21" i="65"/>
  <c r="AW21" i="65"/>
  <c r="AO21" i="65"/>
  <c r="AG21" i="65"/>
  <c r="CR21" i="65"/>
  <c r="BT21" i="65"/>
  <c r="BL21" i="65"/>
  <c r="AV21" i="65"/>
  <c r="AN21" i="65"/>
  <c r="BS21" i="65"/>
  <c r="BK21" i="65"/>
  <c r="AU21" i="65"/>
  <c r="AM21" i="65"/>
  <c r="BB20" i="65"/>
  <c r="BA20" i="65"/>
  <c r="N20" i="65" s="1"/>
  <c r="Y20" i="65" s="1"/>
  <c r="A23" i="65"/>
  <c r="M17" i="23" s="1"/>
  <c r="P17" i="24" s="1"/>
  <c r="B22" i="65"/>
  <c r="N16" i="23" s="1"/>
  <c r="Q16" i="24" s="1"/>
  <c r="BB20" i="64"/>
  <c r="BA20" i="64"/>
  <c r="N20" i="64" s="1"/>
  <c r="A23" i="64"/>
  <c r="I17" i="23" s="1"/>
  <c r="K17" i="24" s="1"/>
  <c r="B22" i="64"/>
  <c r="J16" i="23" s="1"/>
  <c r="L16" i="24" s="1"/>
  <c r="CW21" i="64"/>
  <c r="CO21" i="64"/>
  <c r="BY21" i="64"/>
  <c r="BQ21" i="64"/>
  <c r="BI21" i="64"/>
  <c r="AS21" i="64"/>
  <c r="AK21" i="64"/>
  <c r="D21" i="64"/>
  <c r="L15" i="23" s="1"/>
  <c r="O15" i="24" s="1"/>
  <c r="CV21" i="64"/>
  <c r="CN21" i="64"/>
  <c r="CF21" i="64"/>
  <c r="BX21" i="64"/>
  <c r="BP21" i="64"/>
  <c r="BH21" i="64"/>
  <c r="AZ21" i="64"/>
  <c r="AR21" i="64"/>
  <c r="AJ21" i="64"/>
  <c r="CU21" i="64"/>
  <c r="CE21" i="64"/>
  <c r="BW21" i="64"/>
  <c r="BO21" i="64"/>
  <c r="BG21" i="64"/>
  <c r="AY21" i="64"/>
  <c r="AQ21" i="64"/>
  <c r="AI21" i="64"/>
  <c r="CT21" i="64"/>
  <c r="CD21" i="64"/>
  <c r="BV21" i="64"/>
  <c r="BN21" i="64"/>
  <c r="AX21" i="64"/>
  <c r="AP21" i="64"/>
  <c r="AH21" i="64"/>
  <c r="CS21" i="64"/>
  <c r="BU21" i="64"/>
  <c r="BM21" i="64"/>
  <c r="AW21" i="64"/>
  <c r="AO21" i="64"/>
  <c r="AG21" i="64"/>
  <c r="CR21" i="64"/>
  <c r="BT21" i="64"/>
  <c r="BL21" i="64"/>
  <c r="AV21" i="64"/>
  <c r="AN21" i="64"/>
  <c r="BS21" i="64"/>
  <c r="BK21" i="64"/>
  <c r="AU21" i="64"/>
  <c r="AM21" i="64"/>
  <c r="CP21" i="64"/>
  <c r="BZ21" i="64"/>
  <c r="BR21" i="64"/>
  <c r="AT21" i="64"/>
  <c r="AL21" i="64"/>
  <c r="BB20" i="63"/>
  <c r="BA20" i="63"/>
  <c r="N20" i="63" s="1"/>
  <c r="Y20" i="63" s="1"/>
  <c r="A23" i="63"/>
  <c r="E17" i="23" s="1"/>
  <c r="F17" i="24" s="1"/>
  <c r="B22" i="63"/>
  <c r="F16" i="23" s="1"/>
  <c r="G16" i="24" s="1"/>
  <c r="BS21" i="63"/>
  <c r="BK21" i="63"/>
  <c r="AU21" i="63"/>
  <c r="AM21" i="63"/>
  <c r="CP21" i="63"/>
  <c r="CH21" i="63"/>
  <c r="BZ21" i="63"/>
  <c r="BR21" i="63"/>
  <c r="BJ21" i="63"/>
  <c r="AT21" i="63"/>
  <c r="AL21" i="63"/>
  <c r="CW21" i="63"/>
  <c r="CO21" i="63"/>
  <c r="BY21" i="63"/>
  <c r="BQ21" i="63"/>
  <c r="BI21" i="63"/>
  <c r="AS21" i="63"/>
  <c r="AK21" i="63"/>
  <c r="D21" i="63"/>
  <c r="H15" i="23" s="1"/>
  <c r="J15" i="24" s="1"/>
  <c r="CV21" i="63"/>
  <c r="CN21" i="63"/>
  <c r="BX21" i="63"/>
  <c r="BP21" i="63"/>
  <c r="AZ21" i="63"/>
  <c r="AR21" i="63"/>
  <c r="AJ21" i="63"/>
  <c r="CU21" i="63"/>
  <c r="BW21" i="63"/>
  <c r="BO21" i="63"/>
  <c r="BG21" i="63"/>
  <c r="AY21" i="63"/>
  <c r="AQ21" i="63"/>
  <c r="AI21" i="63"/>
  <c r="CT21" i="63"/>
  <c r="CD21" i="63"/>
  <c r="BV21" i="63"/>
  <c r="BN21" i="63"/>
  <c r="AX21" i="63"/>
  <c r="AP21" i="63"/>
  <c r="AH21" i="63"/>
  <c r="CR21" i="63"/>
  <c r="BT21" i="63"/>
  <c r="BL21" i="63"/>
  <c r="AV21" i="63"/>
  <c r="AN21" i="63"/>
  <c r="BM21" i="63"/>
  <c r="CS21" i="63"/>
  <c r="AW21" i="63"/>
  <c r="AO21" i="63"/>
  <c r="BU21" i="63"/>
  <c r="AG21" i="63"/>
  <c r="BB20" i="70" l="1"/>
  <c r="BA20" i="70"/>
  <c r="N20" i="70" s="1"/>
  <c r="O14" i="25"/>
  <c r="AJ14" i="23"/>
  <c r="AG16" i="23"/>
  <c r="K16" i="25" s="1"/>
  <c r="A23" i="70"/>
  <c r="B22" i="70"/>
  <c r="AH15" i="23"/>
  <c r="L15" i="25" s="1"/>
  <c r="CI21" i="70"/>
  <c r="BR21" i="70"/>
  <c r="BP21" i="70"/>
  <c r="BX21" i="70"/>
  <c r="AH21" i="70"/>
  <c r="CE21" i="70"/>
  <c r="AY21" i="70"/>
  <c r="CQ21" i="70"/>
  <c r="BS21" i="70"/>
  <c r="AT21" i="70"/>
  <c r="AW21" i="70"/>
  <c r="BN21" i="70"/>
  <c r="CR21" i="70"/>
  <c r="BU21" i="70"/>
  <c r="AO21" i="70"/>
  <c r="CK21" i="70"/>
  <c r="BK21" i="70"/>
  <c r="AL21" i="70"/>
  <c r="AK21" i="70"/>
  <c r="AS21" i="70"/>
  <c r="CF21" i="70"/>
  <c r="BI21" i="70"/>
  <c r="D21" i="70"/>
  <c r="CL21" i="70"/>
  <c r="AU21" i="70"/>
  <c r="CW21" i="70"/>
  <c r="CU21" i="70"/>
  <c r="AI21" i="70"/>
  <c r="BV21" i="70"/>
  <c r="AZ21" i="70"/>
  <c r="CM21" i="70"/>
  <c r="AM21" i="70"/>
  <c r="BQ21" i="70"/>
  <c r="BO21" i="70"/>
  <c r="CS21" i="70"/>
  <c r="BL21" i="70"/>
  <c r="AP21" i="70"/>
  <c r="CJ21" i="70"/>
  <c r="CP21" i="70"/>
  <c r="BG21" i="70"/>
  <c r="AV21" i="70"/>
  <c r="BW21" i="70"/>
  <c r="AQ21" i="70"/>
  <c r="CN21" i="70"/>
  <c r="CH21" i="70"/>
  <c r="AX21" i="70"/>
  <c r="AJ21" i="70"/>
  <c r="BM21" i="70"/>
  <c r="AG21" i="70"/>
  <c r="CD21" i="70"/>
  <c r="BZ21" i="70"/>
  <c r="AN21" i="70"/>
  <c r="CT21" i="70"/>
  <c r="AR21" i="70"/>
  <c r="CO21" i="70"/>
  <c r="BH21" i="70"/>
  <c r="Y14" i="25"/>
  <c r="AR14" i="23"/>
  <c r="BA20" i="67"/>
  <c r="N20" i="67" s="1"/>
  <c r="BB20" i="67"/>
  <c r="AN15" i="23"/>
  <c r="T15" i="25"/>
  <c r="AD15" i="25"/>
  <c r="AV15" i="23"/>
  <c r="V15" i="23"/>
  <c r="AA15" i="24" s="1"/>
  <c r="CK21" i="67"/>
  <c r="BG21" i="67"/>
  <c r="AX21" i="67"/>
  <c r="BX21" i="67"/>
  <c r="BJ21" i="67"/>
  <c r="BR21" i="67"/>
  <c r="AL21" i="67"/>
  <c r="D21" i="67"/>
  <c r="X15" i="23" s="1"/>
  <c r="AD15" i="24" s="1"/>
  <c r="AK21" i="67"/>
  <c r="CL21" i="67"/>
  <c r="AY21" i="67"/>
  <c r="AP21" i="67"/>
  <c r="BL21" i="67"/>
  <c r="AO21" i="67"/>
  <c r="BH21" i="67"/>
  <c r="CV21" i="67"/>
  <c r="AU21" i="67"/>
  <c r="CM21" i="67"/>
  <c r="AQ21" i="67"/>
  <c r="AH21" i="67"/>
  <c r="AS21" i="67"/>
  <c r="CO21" i="67"/>
  <c r="AW21" i="67"/>
  <c r="BZ21" i="67"/>
  <c r="AM21" i="67"/>
  <c r="CG21" i="67"/>
  <c r="AI21" i="67"/>
  <c r="CS21" i="67"/>
  <c r="AG21" i="67"/>
  <c r="BS21" i="67"/>
  <c r="BI21" i="67"/>
  <c r="CU21" i="67"/>
  <c r="CT21" i="67"/>
  <c r="BY21" i="67"/>
  <c r="AR21" i="67"/>
  <c r="CI21" i="67"/>
  <c r="CE21" i="67"/>
  <c r="CD21" i="67"/>
  <c r="BM21" i="67"/>
  <c r="CP21" i="67"/>
  <c r="AZ21" i="67"/>
  <c r="CW21" i="67"/>
  <c r="BT21" i="67"/>
  <c r="CJ21" i="67"/>
  <c r="BW21" i="67"/>
  <c r="BV21" i="67"/>
  <c r="AT21" i="67"/>
  <c r="CF21" i="67"/>
  <c r="AN21" i="67"/>
  <c r="BQ21" i="67"/>
  <c r="AJ21" i="67"/>
  <c r="AV21" i="67"/>
  <c r="CQ21" i="67"/>
  <c r="BO21" i="67"/>
  <c r="BN21" i="67"/>
  <c r="CN21" i="67"/>
  <c r="U16" i="23"/>
  <c r="Z16" i="24" s="1"/>
  <c r="A23" i="67"/>
  <c r="B22" i="67"/>
  <c r="J15" i="25"/>
  <c r="AF15" i="23"/>
  <c r="R15" i="23"/>
  <c r="V15" i="24" s="1"/>
  <c r="CG21" i="66"/>
  <c r="CU21" i="66"/>
  <c r="CD21" i="66"/>
  <c r="AW21" i="66"/>
  <c r="BS21" i="66"/>
  <c r="BJ21" i="66"/>
  <c r="AS21" i="66"/>
  <c r="AR21" i="66"/>
  <c r="BW21" i="66"/>
  <c r="BV21" i="66"/>
  <c r="AO21" i="66"/>
  <c r="BK21" i="66"/>
  <c r="AT21" i="66"/>
  <c r="AK21" i="66"/>
  <c r="AJ21" i="66"/>
  <c r="BO21" i="66"/>
  <c r="BN21" i="66"/>
  <c r="AG21" i="66"/>
  <c r="AU21" i="66"/>
  <c r="AL21" i="66"/>
  <c r="D21" i="66"/>
  <c r="T15" i="23" s="1"/>
  <c r="Y15" i="24" s="1"/>
  <c r="CW21" i="66"/>
  <c r="CI21" i="66"/>
  <c r="BG21" i="66"/>
  <c r="AX21" i="66"/>
  <c r="CR21" i="66"/>
  <c r="AM21" i="66"/>
  <c r="CV21" i="66"/>
  <c r="CM21" i="66"/>
  <c r="AY21" i="66"/>
  <c r="AP21" i="66"/>
  <c r="BT21" i="66"/>
  <c r="CP21" i="66"/>
  <c r="CO21" i="66"/>
  <c r="CN21" i="66"/>
  <c r="CQ21" i="66"/>
  <c r="AQ21" i="66"/>
  <c r="AH21" i="66"/>
  <c r="BL21" i="66"/>
  <c r="CH21" i="66"/>
  <c r="BY21" i="66"/>
  <c r="BX21" i="66"/>
  <c r="BP21" i="66"/>
  <c r="CJ21" i="66"/>
  <c r="AI21" i="66"/>
  <c r="CS21" i="66"/>
  <c r="AV21" i="66"/>
  <c r="BZ21" i="66"/>
  <c r="BQ21" i="66"/>
  <c r="CL21" i="66"/>
  <c r="CT21" i="66"/>
  <c r="BU21" i="66"/>
  <c r="AN21" i="66"/>
  <c r="BR21" i="66"/>
  <c r="BI21" i="66"/>
  <c r="AZ21" i="66"/>
  <c r="Q16" i="23"/>
  <c r="U16" i="24" s="1"/>
  <c r="A23" i="66"/>
  <c r="B22" i="66"/>
  <c r="BB20" i="66"/>
  <c r="BA20" i="66"/>
  <c r="N20" i="66" s="1"/>
  <c r="Y19" i="66" s="1"/>
  <c r="CJ21" i="72"/>
  <c r="CQ21" i="72"/>
  <c r="CK21" i="72"/>
  <c r="CI21" i="72"/>
  <c r="CL21" i="72"/>
  <c r="CM21" i="72"/>
  <c r="CQ22" i="73"/>
  <c r="CJ22" i="73"/>
  <c r="CG22" i="73"/>
  <c r="CI22" i="73"/>
  <c r="CK22" i="73"/>
  <c r="CL22" i="73"/>
  <c r="CM22" i="73"/>
  <c r="CI22" i="69"/>
  <c r="CJ22" i="69"/>
  <c r="CK22" i="69"/>
  <c r="CL22" i="69"/>
  <c r="CM22" i="69"/>
  <c r="CI22" i="68"/>
  <c r="CJ22" i="68"/>
  <c r="CG22" i="68"/>
  <c r="CK22" i="68"/>
  <c r="CL22" i="68"/>
  <c r="CM22" i="68"/>
  <c r="CQ22" i="68"/>
  <c r="CI22" i="71"/>
  <c r="CJ22" i="71"/>
  <c r="CK22" i="71"/>
  <c r="CL22" i="71"/>
  <c r="CM22" i="71"/>
  <c r="CQ22" i="71"/>
  <c r="CG22" i="71"/>
  <c r="CI22" i="65"/>
  <c r="CK22" i="65"/>
  <c r="CL22" i="65"/>
  <c r="CM22" i="65"/>
  <c r="CG22" i="65"/>
  <c r="CQ22" i="65"/>
  <c r="CI22" i="64"/>
  <c r="CL22" i="64"/>
  <c r="CM22" i="64"/>
  <c r="CG22" i="64"/>
  <c r="CJ22" i="64"/>
  <c r="CK22" i="64"/>
  <c r="CQ22" i="64"/>
  <c r="CI22" i="63"/>
  <c r="CJ22" i="63"/>
  <c r="CK22" i="63"/>
  <c r="CL22" i="63"/>
  <c r="CM22" i="63"/>
  <c r="CQ22" i="63"/>
  <c r="CX21" i="73"/>
  <c r="P21" i="73" s="1"/>
  <c r="CX21" i="68"/>
  <c r="P21" i="68" s="1"/>
  <c r="Q20" i="65"/>
  <c r="Q20" i="73"/>
  <c r="Q20" i="68"/>
  <c r="BB21" i="73"/>
  <c r="BA21" i="73"/>
  <c r="N21" i="73" s="1"/>
  <c r="CU22" i="73"/>
  <c r="CE22" i="73"/>
  <c r="BW22" i="73"/>
  <c r="BO22" i="73"/>
  <c r="BG22" i="73"/>
  <c r="AY22" i="73"/>
  <c r="AQ22" i="73"/>
  <c r="CT22" i="73"/>
  <c r="CD22" i="73"/>
  <c r="BV22" i="73"/>
  <c r="BN22" i="73"/>
  <c r="AX22" i="73"/>
  <c r="AP22" i="73"/>
  <c r="AH22" i="73"/>
  <c r="CS22" i="73"/>
  <c r="BU22" i="73"/>
  <c r="BM22" i="73"/>
  <c r="CR22" i="73"/>
  <c r="BT22" i="73"/>
  <c r="BL22" i="73"/>
  <c r="AV22" i="73"/>
  <c r="AN22" i="73"/>
  <c r="BS22" i="73"/>
  <c r="BK22" i="73"/>
  <c r="CN22" i="73"/>
  <c r="BX22" i="73"/>
  <c r="AT22" i="73"/>
  <c r="AI22" i="73"/>
  <c r="CH22" i="73"/>
  <c r="BR22" i="73"/>
  <c r="AS22" i="73"/>
  <c r="AG22" i="73"/>
  <c r="BQ22" i="73"/>
  <c r="AR22" i="73"/>
  <c r="CF22" i="73"/>
  <c r="BP22" i="73"/>
  <c r="AO22" i="73"/>
  <c r="CW22" i="73"/>
  <c r="BJ22" i="73"/>
  <c r="AM22" i="73"/>
  <c r="D22" i="73"/>
  <c r="CV22" i="73"/>
  <c r="BI22" i="73"/>
  <c r="AZ22" i="73"/>
  <c r="AL22" i="73"/>
  <c r="CP22" i="73"/>
  <c r="BZ22" i="73"/>
  <c r="BH22" i="73"/>
  <c r="AW22" i="73"/>
  <c r="AK22" i="73"/>
  <c r="CO22" i="73"/>
  <c r="BY22" i="73"/>
  <c r="AU22" i="73"/>
  <c r="AJ22" i="73"/>
  <c r="CA21" i="73"/>
  <c r="O21" i="73" s="1"/>
  <c r="B23" i="73"/>
  <c r="AT17" i="23" s="1"/>
  <c r="AA17" i="25" s="1"/>
  <c r="A24" i="73"/>
  <c r="AS18" i="23" s="1"/>
  <c r="Z18" i="25" s="1"/>
  <c r="CS21" i="72"/>
  <c r="BU21" i="72"/>
  <c r="BM21" i="72"/>
  <c r="AW21" i="72"/>
  <c r="AO21" i="72"/>
  <c r="AG21" i="72"/>
  <c r="CR21" i="72"/>
  <c r="BT21" i="72"/>
  <c r="BL21" i="72"/>
  <c r="AV21" i="72"/>
  <c r="AN21" i="72"/>
  <c r="BS21" i="72"/>
  <c r="BK21" i="72"/>
  <c r="AU21" i="72"/>
  <c r="AM21" i="72"/>
  <c r="CP21" i="72"/>
  <c r="CH21" i="72"/>
  <c r="BZ21" i="72"/>
  <c r="BR21" i="72"/>
  <c r="BJ21" i="72"/>
  <c r="AT21" i="72"/>
  <c r="AL21" i="72"/>
  <c r="BY21" i="72"/>
  <c r="BI21" i="72"/>
  <c r="AZ21" i="72"/>
  <c r="AJ21" i="72"/>
  <c r="CW21" i="72"/>
  <c r="BG21" i="72"/>
  <c r="AX21" i="72"/>
  <c r="AH21" i="72"/>
  <c r="CV21" i="72"/>
  <c r="CF21" i="72"/>
  <c r="BV21" i="72"/>
  <c r="AS21" i="72"/>
  <c r="D21" i="72"/>
  <c r="CU21" i="72"/>
  <c r="BQ21" i="72"/>
  <c r="AR21" i="72"/>
  <c r="CD21" i="72"/>
  <c r="BP21" i="72"/>
  <c r="AQ21" i="72"/>
  <c r="CO21" i="72"/>
  <c r="BO21" i="72"/>
  <c r="AP21" i="72"/>
  <c r="CN21" i="72"/>
  <c r="BN21" i="72"/>
  <c r="AK21" i="72"/>
  <c r="AY21" i="72"/>
  <c r="AI21" i="72"/>
  <c r="BX21" i="72"/>
  <c r="B22" i="72"/>
  <c r="AP16" i="23" s="1"/>
  <c r="V16" i="25" s="1"/>
  <c r="A23" i="72"/>
  <c r="AO17" i="23" s="1"/>
  <c r="U17" i="25" s="1"/>
  <c r="BB20" i="72"/>
  <c r="BA20" i="72"/>
  <c r="N20" i="72" s="1"/>
  <c r="BB21" i="71"/>
  <c r="BA21" i="71"/>
  <c r="N21" i="71" s="1"/>
  <c r="CR22" i="71"/>
  <c r="BT22" i="71"/>
  <c r="BL22" i="71"/>
  <c r="AV22" i="71"/>
  <c r="AN22" i="71"/>
  <c r="BS22" i="71"/>
  <c r="BK22" i="71"/>
  <c r="AU22" i="71"/>
  <c r="AM22" i="71"/>
  <c r="CV22" i="71"/>
  <c r="BQ22" i="71"/>
  <c r="BG22" i="71"/>
  <c r="AY22" i="71"/>
  <c r="AO22" i="71"/>
  <c r="D22" i="71"/>
  <c r="CU22" i="71"/>
  <c r="BZ22" i="71"/>
  <c r="BP22" i="71"/>
  <c r="AX22" i="71"/>
  <c r="AL22" i="71"/>
  <c r="CT22" i="71"/>
  <c r="CH22" i="71"/>
  <c r="BY22" i="71"/>
  <c r="BO22" i="71"/>
  <c r="AW22" i="71"/>
  <c r="AK22" i="71"/>
  <c r="CS22" i="71"/>
  <c r="BX22" i="71"/>
  <c r="BN22" i="71"/>
  <c r="AT22" i="71"/>
  <c r="AJ22" i="71"/>
  <c r="CP22" i="71"/>
  <c r="CF22" i="71"/>
  <c r="BW22" i="71"/>
  <c r="BM22" i="71"/>
  <c r="AS22" i="71"/>
  <c r="AI22" i="71"/>
  <c r="BV22" i="71"/>
  <c r="BJ22" i="71"/>
  <c r="AR22" i="71"/>
  <c r="AH22" i="71"/>
  <c r="CW22" i="71"/>
  <c r="BR22" i="71"/>
  <c r="BH22" i="71"/>
  <c r="AZ22" i="71"/>
  <c r="AP22" i="71"/>
  <c r="CN22" i="71"/>
  <c r="CD22" i="71"/>
  <c r="AQ22" i="71"/>
  <c r="BU22" i="71"/>
  <c r="AG22" i="71"/>
  <c r="BI22" i="71"/>
  <c r="CA21" i="71"/>
  <c r="O21" i="71" s="1"/>
  <c r="A24" i="71"/>
  <c r="AK18" i="23" s="1"/>
  <c r="P18" i="25" s="1"/>
  <c r="B23" i="71"/>
  <c r="AL17" i="23" s="1"/>
  <c r="Q17" i="25" s="1"/>
  <c r="BB21" i="69"/>
  <c r="BA21" i="69"/>
  <c r="N21" i="69" s="1"/>
  <c r="A24" i="69"/>
  <c r="AC18" i="23" s="1"/>
  <c r="F18" i="25" s="1"/>
  <c r="B23" i="69"/>
  <c r="AD17" i="23" s="1"/>
  <c r="G17" i="25" s="1"/>
  <c r="BS22" i="69"/>
  <c r="BK22" i="69"/>
  <c r="AU22" i="69"/>
  <c r="AM22" i="69"/>
  <c r="CP22" i="69"/>
  <c r="CH22" i="69"/>
  <c r="BZ22" i="69"/>
  <c r="BJ22" i="69"/>
  <c r="AT22" i="69"/>
  <c r="AL22" i="69"/>
  <c r="CW22" i="69"/>
  <c r="BY22" i="69"/>
  <c r="BQ22" i="69"/>
  <c r="BI22" i="69"/>
  <c r="AS22" i="69"/>
  <c r="AK22" i="69"/>
  <c r="D22" i="69"/>
  <c r="CV22" i="69"/>
  <c r="CN22" i="69"/>
  <c r="CF22" i="69"/>
  <c r="BX22" i="69"/>
  <c r="BP22" i="69"/>
  <c r="AZ22" i="69"/>
  <c r="AR22" i="69"/>
  <c r="AJ22" i="69"/>
  <c r="CU22" i="69"/>
  <c r="BW22" i="69"/>
  <c r="BO22" i="69"/>
  <c r="BG22" i="69"/>
  <c r="AY22" i="69"/>
  <c r="AQ22" i="69"/>
  <c r="AI22" i="69"/>
  <c r="CT22" i="69"/>
  <c r="CD22" i="69"/>
  <c r="BV22" i="69"/>
  <c r="BN22" i="69"/>
  <c r="AX22" i="69"/>
  <c r="AP22" i="69"/>
  <c r="AH22" i="69"/>
  <c r="CS22" i="69"/>
  <c r="BU22" i="69"/>
  <c r="AW22" i="69"/>
  <c r="AO22" i="69"/>
  <c r="AG22" i="69"/>
  <c r="BT22" i="69"/>
  <c r="BL22" i="69"/>
  <c r="CR22" i="69"/>
  <c r="AV22" i="69"/>
  <c r="AN22" i="69"/>
  <c r="A24" i="68"/>
  <c r="Y18" i="23" s="1"/>
  <c r="A18" i="25" s="1"/>
  <c r="B23" i="68"/>
  <c r="Z17" i="23" s="1"/>
  <c r="B17" i="25" s="1"/>
  <c r="BS22" i="68"/>
  <c r="BK22" i="68"/>
  <c r="AU22" i="68"/>
  <c r="AM22" i="68"/>
  <c r="CP22" i="68"/>
  <c r="CH22" i="68"/>
  <c r="BZ22" i="68"/>
  <c r="BR22" i="68"/>
  <c r="BJ22" i="68"/>
  <c r="AT22" i="68"/>
  <c r="AL22" i="68"/>
  <c r="CW22" i="68"/>
  <c r="CO22" i="68"/>
  <c r="BY22" i="68"/>
  <c r="BQ22" i="68"/>
  <c r="BI22" i="68"/>
  <c r="AS22" i="68"/>
  <c r="AK22" i="68"/>
  <c r="D22" i="68"/>
  <c r="AB16" i="23" s="1"/>
  <c r="E16" i="25" s="1"/>
  <c r="CV22" i="68"/>
  <c r="CN22" i="68"/>
  <c r="CF22" i="68"/>
  <c r="BX22" i="68"/>
  <c r="BP22" i="68"/>
  <c r="BH22" i="68"/>
  <c r="AZ22" i="68"/>
  <c r="AR22" i="68"/>
  <c r="AJ22" i="68"/>
  <c r="CU22" i="68"/>
  <c r="CE22" i="68"/>
  <c r="BW22" i="68"/>
  <c r="CT22" i="68"/>
  <c r="CD22" i="68"/>
  <c r="BV22" i="68"/>
  <c r="BN22" i="68"/>
  <c r="AX22" i="68"/>
  <c r="CS22" i="68"/>
  <c r="BU22" i="68"/>
  <c r="BM22" i="68"/>
  <c r="AW22" i="68"/>
  <c r="AO22" i="68"/>
  <c r="AG22" i="68"/>
  <c r="CR22" i="68"/>
  <c r="BT22" i="68"/>
  <c r="BL22" i="68"/>
  <c r="AV22" i="68"/>
  <c r="AN22" i="68"/>
  <c r="AY22" i="68"/>
  <c r="AQ22" i="68"/>
  <c r="BO22" i="68"/>
  <c r="AP22" i="68"/>
  <c r="BG22" i="68"/>
  <c r="AI22" i="68"/>
  <c r="AH22" i="68"/>
  <c r="CA21" i="68"/>
  <c r="O21" i="68" s="1"/>
  <c r="BB21" i="68"/>
  <c r="BA21" i="68"/>
  <c r="N21" i="68" s="1"/>
  <c r="CA21" i="65"/>
  <c r="O21" i="65" s="1"/>
  <c r="CS22" i="65"/>
  <c r="BU22" i="65"/>
  <c r="BM22" i="65"/>
  <c r="AW22" i="65"/>
  <c r="AO22" i="65"/>
  <c r="AG22" i="65"/>
  <c r="CR22" i="65"/>
  <c r="BT22" i="65"/>
  <c r="AV22" i="65"/>
  <c r="AN22" i="65"/>
  <c r="BS22" i="65"/>
  <c r="BK22" i="65"/>
  <c r="AU22" i="65"/>
  <c r="AM22" i="65"/>
  <c r="CP22" i="65"/>
  <c r="CH22" i="65"/>
  <c r="BZ22" i="65"/>
  <c r="BR22" i="65"/>
  <c r="BJ22" i="65"/>
  <c r="AT22" i="65"/>
  <c r="AL22" i="65"/>
  <c r="CW22" i="65"/>
  <c r="CO22" i="65"/>
  <c r="BY22" i="65"/>
  <c r="BQ22" i="65"/>
  <c r="BI22" i="65"/>
  <c r="AS22" i="65"/>
  <c r="AK22" i="65"/>
  <c r="D22" i="65"/>
  <c r="P16" i="23" s="1"/>
  <c r="T16" i="24" s="1"/>
  <c r="CV22" i="65"/>
  <c r="CN22" i="65"/>
  <c r="CF22" i="65"/>
  <c r="BX22" i="65"/>
  <c r="BP22" i="65"/>
  <c r="BH22" i="65"/>
  <c r="AZ22" i="65"/>
  <c r="AR22" i="65"/>
  <c r="AJ22" i="65"/>
  <c r="CU22" i="65"/>
  <c r="BW22" i="65"/>
  <c r="BO22" i="65"/>
  <c r="AY22" i="65"/>
  <c r="AQ22" i="65"/>
  <c r="AI22" i="65"/>
  <c r="CT22" i="65"/>
  <c r="BV22" i="65"/>
  <c r="BN22" i="65"/>
  <c r="AX22" i="65"/>
  <c r="AP22" i="65"/>
  <c r="AH22" i="65"/>
  <c r="B23" i="65"/>
  <c r="N17" i="23" s="1"/>
  <c r="Q17" i="24" s="1"/>
  <c r="A24" i="65"/>
  <c r="M18" i="23" s="1"/>
  <c r="P18" i="24" s="1"/>
  <c r="BB21" i="65"/>
  <c r="BA21" i="65"/>
  <c r="N21" i="65" s="1"/>
  <c r="Y21" i="65" s="1"/>
  <c r="BB21" i="64"/>
  <c r="BA21" i="64"/>
  <c r="N21" i="64" s="1"/>
  <c r="Y20" i="64" s="1"/>
  <c r="Y40" i="64" s="1"/>
  <c r="CR22" i="64"/>
  <c r="CT22" i="64"/>
  <c r="BT22" i="64"/>
  <c r="BL22" i="64"/>
  <c r="AV22" i="64"/>
  <c r="AN22" i="64"/>
  <c r="CS22" i="64"/>
  <c r="BS22" i="64"/>
  <c r="AU22" i="64"/>
  <c r="AM22" i="64"/>
  <c r="BZ22" i="64"/>
  <c r="BR22" i="64"/>
  <c r="BJ22" i="64"/>
  <c r="AT22" i="64"/>
  <c r="AL22" i="64"/>
  <c r="CP22" i="64"/>
  <c r="BY22" i="64"/>
  <c r="BQ22" i="64"/>
  <c r="BI22" i="64"/>
  <c r="AS22" i="64"/>
  <c r="AK22" i="64"/>
  <c r="D22" i="64"/>
  <c r="L16" i="23" s="1"/>
  <c r="O16" i="24" s="1"/>
  <c r="CO22" i="64"/>
  <c r="CF22" i="64"/>
  <c r="BX22" i="64"/>
  <c r="BP22" i="64"/>
  <c r="BH22" i="64"/>
  <c r="AZ22" i="64"/>
  <c r="AR22" i="64"/>
  <c r="AJ22" i="64"/>
  <c r="CW22" i="64"/>
  <c r="CN22" i="64"/>
  <c r="CE22" i="64"/>
  <c r="BW22" i="64"/>
  <c r="BO22" i="64"/>
  <c r="BG22" i="64"/>
  <c r="AY22" i="64"/>
  <c r="AQ22" i="64"/>
  <c r="AI22" i="64"/>
  <c r="CV22" i="64"/>
  <c r="CD22" i="64"/>
  <c r="BV22" i="64"/>
  <c r="BN22" i="64"/>
  <c r="AX22" i="64"/>
  <c r="AP22" i="64"/>
  <c r="AH22" i="64"/>
  <c r="CU22" i="64"/>
  <c r="BU22" i="64"/>
  <c r="BM22" i="64"/>
  <c r="AW22" i="64"/>
  <c r="AO22" i="64"/>
  <c r="AG22" i="64"/>
  <c r="A24" i="64"/>
  <c r="I18" i="23" s="1"/>
  <c r="K18" i="24" s="1"/>
  <c r="B23" i="64"/>
  <c r="J17" i="23" s="1"/>
  <c r="L17" i="24" s="1"/>
  <c r="BB21" i="63"/>
  <c r="BA21" i="63"/>
  <c r="N21" i="63" s="1"/>
  <c r="Y21" i="63" s="1"/>
  <c r="CT22" i="63"/>
  <c r="CD22" i="63"/>
  <c r="BV22" i="63"/>
  <c r="BN22" i="63"/>
  <c r="AX22" i="63"/>
  <c r="AP22" i="63"/>
  <c r="AH22" i="63"/>
  <c r="CS22" i="63"/>
  <c r="BU22" i="63"/>
  <c r="BM22" i="63"/>
  <c r="AW22" i="63"/>
  <c r="AO22" i="63"/>
  <c r="AG22" i="63"/>
  <c r="CR22" i="63"/>
  <c r="BT22" i="63"/>
  <c r="BL22" i="63"/>
  <c r="AV22" i="63"/>
  <c r="AN22" i="63"/>
  <c r="BS22" i="63"/>
  <c r="BK22" i="63"/>
  <c r="AU22" i="63"/>
  <c r="AM22" i="63"/>
  <c r="CP22" i="63"/>
  <c r="CH22" i="63"/>
  <c r="BZ22" i="63"/>
  <c r="BR22" i="63"/>
  <c r="BJ22" i="63"/>
  <c r="AT22" i="63"/>
  <c r="AL22" i="63"/>
  <c r="CW22" i="63"/>
  <c r="CO22" i="63"/>
  <c r="BY22" i="63"/>
  <c r="BQ22" i="63"/>
  <c r="AS22" i="63"/>
  <c r="AK22" i="63"/>
  <c r="D22" i="63"/>
  <c r="H16" i="23" s="1"/>
  <c r="J16" i="24" s="1"/>
  <c r="CV22" i="63"/>
  <c r="CN22" i="63"/>
  <c r="BX22" i="63"/>
  <c r="BP22" i="63"/>
  <c r="BH22" i="63"/>
  <c r="AZ22" i="63"/>
  <c r="AR22" i="63"/>
  <c r="AJ22" i="63"/>
  <c r="CU22" i="63"/>
  <c r="CE22" i="63"/>
  <c r="BW22" i="63"/>
  <c r="BO22" i="63"/>
  <c r="BG22" i="63"/>
  <c r="AY22" i="63"/>
  <c r="AQ22" i="63"/>
  <c r="AI22" i="63"/>
  <c r="B23" i="63"/>
  <c r="F17" i="23" s="1"/>
  <c r="G17" i="24" s="1"/>
  <c r="A24" i="63"/>
  <c r="E18" i="23" s="1"/>
  <c r="F18" i="24" s="1"/>
  <c r="AJ15" i="23" l="1"/>
  <c r="O15" i="25"/>
  <c r="AH16" i="23"/>
  <c r="L16" i="25" s="1"/>
  <c r="CQ22" i="70"/>
  <c r="CS22" i="70"/>
  <c r="AJ22" i="70"/>
  <c r="BT22" i="70"/>
  <c r="BH22" i="70"/>
  <c r="AM22" i="70"/>
  <c r="AK22" i="70"/>
  <c r="CJ22" i="70"/>
  <c r="CT22" i="70"/>
  <c r="BM22" i="70"/>
  <c r="CP22" i="70"/>
  <c r="BJ22" i="70"/>
  <c r="AZ22" i="70"/>
  <c r="CU22" i="70"/>
  <c r="AV22" i="70"/>
  <c r="CK22" i="70"/>
  <c r="CD22" i="70"/>
  <c r="AW22" i="70"/>
  <c r="CF22" i="70"/>
  <c r="AR22" i="70"/>
  <c r="AN22" i="70"/>
  <c r="BP22" i="70"/>
  <c r="D22" i="70"/>
  <c r="CL22" i="70"/>
  <c r="BV22" i="70"/>
  <c r="AO22" i="70"/>
  <c r="BW22" i="70"/>
  <c r="CN22" i="70"/>
  <c r="CM22" i="70"/>
  <c r="BN22" i="70"/>
  <c r="AG22" i="70"/>
  <c r="AS22" i="70"/>
  <c r="BS22" i="70"/>
  <c r="CV22" i="70"/>
  <c r="AL22" i="70"/>
  <c r="CG22" i="70"/>
  <c r="AX22" i="70"/>
  <c r="BX22" i="70"/>
  <c r="AI22" i="70"/>
  <c r="BI22" i="70"/>
  <c r="BQ22" i="70"/>
  <c r="BY22" i="70"/>
  <c r="AP22" i="70"/>
  <c r="BL22" i="70"/>
  <c r="CO22" i="70"/>
  <c r="AQ22" i="70"/>
  <c r="BG22" i="70"/>
  <c r="BO22" i="70"/>
  <c r="CI22" i="70"/>
  <c r="AH22" i="70"/>
  <c r="AT22" i="70"/>
  <c r="CE22" i="70"/>
  <c r="BR22" i="70"/>
  <c r="AY22" i="70"/>
  <c r="AU22" i="70"/>
  <c r="AG17" i="23"/>
  <c r="K17" i="25" s="1"/>
  <c r="B23" i="70"/>
  <c r="A24" i="70"/>
  <c r="BA21" i="70"/>
  <c r="N21" i="70" s="1"/>
  <c r="BB21" i="70"/>
  <c r="BA21" i="67"/>
  <c r="N21" i="67" s="1"/>
  <c r="BB21" i="67"/>
  <c r="AD16" i="25"/>
  <c r="AV16" i="23"/>
  <c r="T16" i="25"/>
  <c r="AN16" i="23"/>
  <c r="V16" i="23"/>
  <c r="AA16" i="24" s="1"/>
  <c r="CQ22" i="67"/>
  <c r="CH22" i="67"/>
  <c r="BY22" i="67"/>
  <c r="CR22" i="67"/>
  <c r="BX22" i="67"/>
  <c r="BV22" i="67"/>
  <c r="CE22" i="67"/>
  <c r="AH22" i="67"/>
  <c r="CU22" i="67"/>
  <c r="AQ22" i="67"/>
  <c r="AV22" i="67"/>
  <c r="AR22" i="67"/>
  <c r="CJ22" i="67"/>
  <c r="BZ22" i="67"/>
  <c r="BQ22" i="67"/>
  <c r="BS22" i="67"/>
  <c r="BL22" i="67"/>
  <c r="BG22" i="67"/>
  <c r="BP22" i="67"/>
  <c r="CD22" i="67"/>
  <c r="AP22" i="67"/>
  <c r="AN22" i="67"/>
  <c r="CG22" i="67"/>
  <c r="BR22" i="67"/>
  <c r="BI22" i="67"/>
  <c r="BK22" i="67"/>
  <c r="AY22" i="67"/>
  <c r="AW22" i="67"/>
  <c r="AU22" i="67"/>
  <c r="BN22" i="67"/>
  <c r="BH22" i="67"/>
  <c r="CS22" i="67"/>
  <c r="CN22" i="67"/>
  <c r="CK22" i="67"/>
  <c r="BJ22" i="67"/>
  <c r="AS22" i="67"/>
  <c r="CT22" i="67"/>
  <c r="AO22" i="67"/>
  <c r="AM22" i="67"/>
  <c r="AI22" i="67"/>
  <c r="CW22" i="67"/>
  <c r="BO22" i="67"/>
  <c r="CP22" i="67"/>
  <c r="BU22" i="67"/>
  <c r="AJ22" i="67"/>
  <c r="AT22" i="67"/>
  <c r="AK22" i="67"/>
  <c r="BM22" i="67"/>
  <c r="BW22" i="67"/>
  <c r="CF22" i="67"/>
  <c r="CV22" i="67"/>
  <c r="AG22" i="67"/>
  <c r="D22" i="67"/>
  <c r="X16" i="23" s="1"/>
  <c r="AD16" i="24" s="1"/>
  <c r="AZ22" i="67"/>
  <c r="AX22" i="67"/>
  <c r="CI22" i="67"/>
  <c r="AL22" i="67"/>
  <c r="BT22" i="67"/>
  <c r="CL22" i="67"/>
  <c r="CM22" i="67"/>
  <c r="CO22" i="67"/>
  <c r="U17" i="23"/>
  <c r="Z17" i="24" s="1"/>
  <c r="A24" i="67"/>
  <c r="B23" i="67"/>
  <c r="J16" i="25"/>
  <c r="AF16" i="23"/>
  <c r="Y15" i="25"/>
  <c r="AR15" i="23"/>
  <c r="R16" i="23"/>
  <c r="V16" i="24" s="1"/>
  <c r="CH22" i="66"/>
  <c r="BY22" i="66"/>
  <c r="BP22" i="66"/>
  <c r="BO22" i="66"/>
  <c r="AX22" i="66"/>
  <c r="AG22" i="66"/>
  <c r="AU22" i="66"/>
  <c r="BU22" i="66"/>
  <c r="CI22" i="66"/>
  <c r="BZ22" i="66"/>
  <c r="BQ22" i="66"/>
  <c r="BH22" i="66"/>
  <c r="BG22" i="66"/>
  <c r="AP22" i="66"/>
  <c r="CR22" i="66"/>
  <c r="AM22" i="66"/>
  <c r="AV22" i="66"/>
  <c r="CK22" i="66"/>
  <c r="BR22" i="66"/>
  <c r="AS22" i="66"/>
  <c r="AZ22" i="66"/>
  <c r="AY22" i="66"/>
  <c r="AH22" i="66"/>
  <c r="BT22" i="66"/>
  <c r="BL22" i="66"/>
  <c r="CM22" i="66"/>
  <c r="BJ22" i="66"/>
  <c r="AK22" i="66"/>
  <c r="AR22" i="66"/>
  <c r="AQ22" i="66"/>
  <c r="CS22" i="66"/>
  <c r="CJ22" i="66"/>
  <c r="AT22" i="66"/>
  <c r="D22" i="66"/>
  <c r="T16" i="23" s="1"/>
  <c r="Y16" i="24" s="1"/>
  <c r="AJ22" i="66"/>
  <c r="AI22" i="66"/>
  <c r="CQ22" i="66"/>
  <c r="AL22" i="66"/>
  <c r="CV22" i="66"/>
  <c r="CU22" i="66"/>
  <c r="CT22" i="66"/>
  <c r="BM22" i="66"/>
  <c r="AN22" i="66"/>
  <c r="BS22" i="66"/>
  <c r="AO22" i="66"/>
  <c r="CW22" i="66"/>
  <c r="CN22" i="66"/>
  <c r="CE22" i="66"/>
  <c r="CD22" i="66"/>
  <c r="AW22" i="66"/>
  <c r="BV22" i="66"/>
  <c r="CP22" i="66"/>
  <c r="CO22" i="66"/>
  <c r="BX22" i="66"/>
  <c r="BW22" i="66"/>
  <c r="BK22" i="66"/>
  <c r="Q17" i="23"/>
  <c r="U17" i="24" s="1"/>
  <c r="A24" i="66"/>
  <c r="B23" i="66"/>
  <c r="BB21" i="66"/>
  <c r="BA21" i="66"/>
  <c r="N21" i="66" s="1"/>
  <c r="CG22" i="72"/>
  <c r="CQ22" i="72"/>
  <c r="CI22" i="72"/>
  <c r="CJ22" i="72"/>
  <c r="CK22" i="72"/>
  <c r="CL22" i="72"/>
  <c r="CM22" i="72"/>
  <c r="CI23" i="68"/>
  <c r="CK23" i="68"/>
  <c r="CQ23" i="68"/>
  <c r="CL23" i="68"/>
  <c r="CM23" i="68"/>
  <c r="CG23" i="68"/>
  <c r="CJ23" i="68"/>
  <c r="CM23" i="71"/>
  <c r="CI23" i="71"/>
  <c r="CJ23" i="71"/>
  <c r="CK23" i="71"/>
  <c r="CQ23" i="71"/>
  <c r="CL23" i="71"/>
  <c r="CG23" i="71"/>
  <c r="CI23" i="69"/>
  <c r="CG23" i="69"/>
  <c r="CJ23" i="69"/>
  <c r="CK23" i="69"/>
  <c r="CQ23" i="69"/>
  <c r="CL23" i="69"/>
  <c r="CM23" i="69"/>
  <c r="CK23" i="73"/>
  <c r="CQ23" i="73"/>
  <c r="CL23" i="73"/>
  <c r="CM23" i="73"/>
  <c r="CG23" i="73"/>
  <c r="CI23" i="73"/>
  <c r="CJ23" i="73"/>
  <c r="CI23" i="65"/>
  <c r="CG23" i="65"/>
  <c r="CJ23" i="65"/>
  <c r="CL23" i="65"/>
  <c r="CQ23" i="65"/>
  <c r="CM23" i="65"/>
  <c r="CI23" i="64"/>
  <c r="CQ23" i="64"/>
  <c r="CJ23" i="64"/>
  <c r="CK23" i="64"/>
  <c r="CL23" i="64"/>
  <c r="CM23" i="64"/>
  <c r="CG23" i="64"/>
  <c r="CI23" i="63"/>
  <c r="CJ23" i="63"/>
  <c r="CK23" i="63"/>
  <c r="CL23" i="63"/>
  <c r="CM23" i="63"/>
  <c r="CQ23" i="63"/>
  <c r="CX22" i="73"/>
  <c r="P22" i="73" s="1"/>
  <c r="CX22" i="68"/>
  <c r="P22" i="68" s="1"/>
  <c r="Q21" i="73"/>
  <c r="Q21" i="68"/>
  <c r="A25" i="73"/>
  <c r="AS19" i="23" s="1"/>
  <c r="Z19" i="25" s="1"/>
  <c r="B24" i="73"/>
  <c r="AT18" i="23" s="1"/>
  <c r="AA18" i="25" s="1"/>
  <c r="CA22" i="73"/>
  <c r="O22" i="73" s="1"/>
  <c r="CP23" i="73"/>
  <c r="CH23" i="73"/>
  <c r="BZ23" i="73"/>
  <c r="BR23" i="73"/>
  <c r="BJ23" i="73"/>
  <c r="AT23" i="73"/>
  <c r="AL23" i="73"/>
  <c r="CW23" i="73"/>
  <c r="CO23" i="73"/>
  <c r="BY23" i="73"/>
  <c r="BQ23" i="73"/>
  <c r="BI23" i="73"/>
  <c r="AS23" i="73"/>
  <c r="AK23" i="73"/>
  <c r="D23" i="73"/>
  <c r="CV23" i="73"/>
  <c r="CN23" i="73"/>
  <c r="CF23" i="73"/>
  <c r="BX23" i="73"/>
  <c r="BP23" i="73"/>
  <c r="BH23" i="73"/>
  <c r="AZ23" i="73"/>
  <c r="AR23" i="73"/>
  <c r="AJ23" i="73"/>
  <c r="CU23" i="73"/>
  <c r="CE23" i="73"/>
  <c r="BW23" i="73"/>
  <c r="BO23" i="73"/>
  <c r="BG23" i="73"/>
  <c r="AY23" i="73"/>
  <c r="AQ23" i="73"/>
  <c r="AI23" i="73"/>
  <c r="CT23" i="73"/>
  <c r="CD23" i="73"/>
  <c r="BV23" i="73"/>
  <c r="BN23" i="73"/>
  <c r="AX23" i="73"/>
  <c r="AP23" i="73"/>
  <c r="AH23" i="73"/>
  <c r="CS23" i="73"/>
  <c r="BU23" i="73"/>
  <c r="BM23" i="73"/>
  <c r="AW23" i="73"/>
  <c r="AO23" i="73"/>
  <c r="AG23" i="73"/>
  <c r="BL23" i="73"/>
  <c r="AN23" i="73"/>
  <c r="BK23" i="73"/>
  <c r="AM23" i="73"/>
  <c r="BT23" i="73"/>
  <c r="AV23" i="73"/>
  <c r="CR23" i="73"/>
  <c r="BS23" i="73"/>
  <c r="AU23" i="73"/>
  <c r="BB22" i="73"/>
  <c r="BA22" i="73"/>
  <c r="N22" i="73" s="1"/>
  <c r="BB21" i="72"/>
  <c r="BA21" i="72"/>
  <c r="N21" i="72" s="1"/>
  <c r="Y21" i="72" s="1"/>
  <c r="Y39" i="72" s="1"/>
  <c r="B23" i="72"/>
  <c r="AP17" i="23" s="1"/>
  <c r="V17" i="25" s="1"/>
  <c r="A24" i="72"/>
  <c r="AO18" i="23" s="1"/>
  <c r="U18" i="25" s="1"/>
  <c r="CV22" i="72"/>
  <c r="CN22" i="72"/>
  <c r="BP22" i="72"/>
  <c r="BH22" i="72"/>
  <c r="AZ22" i="72"/>
  <c r="AR22" i="72"/>
  <c r="AJ22" i="72"/>
  <c r="CE22" i="72"/>
  <c r="BW22" i="72"/>
  <c r="BO22" i="72"/>
  <c r="BG22" i="72"/>
  <c r="AY22" i="72"/>
  <c r="AQ22" i="72"/>
  <c r="AI22" i="72"/>
  <c r="CT22" i="72"/>
  <c r="CD22" i="72"/>
  <c r="BV22" i="72"/>
  <c r="BN22" i="72"/>
  <c r="AX22" i="72"/>
  <c r="AP22" i="72"/>
  <c r="AH22" i="72"/>
  <c r="CS22" i="72"/>
  <c r="BU22" i="72"/>
  <c r="BM22" i="72"/>
  <c r="AW22" i="72"/>
  <c r="AO22" i="72"/>
  <c r="AG22" i="72"/>
  <c r="BT22" i="72"/>
  <c r="AT22" i="72"/>
  <c r="D22" i="72"/>
  <c r="CW22" i="72"/>
  <c r="BR22" i="72"/>
  <c r="AN22" i="72"/>
  <c r="CR22" i="72"/>
  <c r="BQ22" i="72"/>
  <c r="AM22" i="72"/>
  <c r="BL22" i="72"/>
  <c r="AL22" i="72"/>
  <c r="CP22" i="72"/>
  <c r="BK22" i="72"/>
  <c r="AK22" i="72"/>
  <c r="CO22" i="72"/>
  <c r="BZ22" i="72"/>
  <c r="BJ22" i="72"/>
  <c r="AV22" i="72"/>
  <c r="BY22" i="72"/>
  <c r="AU22" i="72"/>
  <c r="AS22" i="72"/>
  <c r="BS22" i="72"/>
  <c r="CU23" i="71"/>
  <c r="CE23" i="71"/>
  <c r="BW23" i="71"/>
  <c r="BO23" i="71"/>
  <c r="AY23" i="71"/>
  <c r="AQ23" i="71"/>
  <c r="AI23" i="71"/>
  <c r="CT23" i="71"/>
  <c r="BN23" i="71"/>
  <c r="AX23" i="71"/>
  <c r="AP23" i="71"/>
  <c r="AH23" i="71"/>
  <c r="CR23" i="71"/>
  <c r="CH23" i="71"/>
  <c r="BX23" i="71"/>
  <c r="BL23" i="71"/>
  <c r="AS23" i="71"/>
  <c r="AG23" i="71"/>
  <c r="BU23" i="71"/>
  <c r="BK23" i="71"/>
  <c r="AR23" i="71"/>
  <c r="BT23" i="71"/>
  <c r="BJ23" i="71"/>
  <c r="AO23" i="71"/>
  <c r="CO23" i="71"/>
  <c r="BS23" i="71"/>
  <c r="BI23" i="71"/>
  <c r="AZ23" i="71"/>
  <c r="AN23" i="71"/>
  <c r="BR23" i="71"/>
  <c r="BH23" i="71"/>
  <c r="AW23" i="71"/>
  <c r="AM23" i="71"/>
  <c r="D23" i="71"/>
  <c r="CW23" i="71"/>
  <c r="AV23" i="71"/>
  <c r="AL23" i="71"/>
  <c r="CV23" i="71"/>
  <c r="BZ23" i="71"/>
  <c r="BP23" i="71"/>
  <c r="BY23" i="71"/>
  <c r="BM23" i="71"/>
  <c r="AT23" i="71"/>
  <c r="AJ23" i="71"/>
  <c r="AU23" i="71"/>
  <c r="AK23" i="71"/>
  <c r="A25" i="71"/>
  <c r="AK19" i="23" s="1"/>
  <c r="P19" i="25" s="1"/>
  <c r="B24" i="71"/>
  <c r="AL18" i="23" s="1"/>
  <c r="Q18" i="25" s="1"/>
  <c r="BB22" i="71"/>
  <c r="BA22" i="71"/>
  <c r="N22" i="71" s="1"/>
  <c r="Y21" i="71" s="1"/>
  <c r="CA22" i="71"/>
  <c r="O22" i="71" s="1"/>
  <c r="CV23" i="69"/>
  <c r="CN23" i="69"/>
  <c r="BX23" i="69"/>
  <c r="CU23" i="69"/>
  <c r="CE23" i="69"/>
  <c r="CT23" i="69"/>
  <c r="CD23" i="69"/>
  <c r="CS23" i="69"/>
  <c r="BV23" i="69"/>
  <c r="AX23" i="69"/>
  <c r="AP23" i="69"/>
  <c r="AH23" i="69"/>
  <c r="BU23" i="69"/>
  <c r="BM23" i="69"/>
  <c r="AW23" i="69"/>
  <c r="AO23" i="69"/>
  <c r="AG23" i="69"/>
  <c r="BT23" i="69"/>
  <c r="BL23" i="69"/>
  <c r="AV23" i="69"/>
  <c r="AN23" i="69"/>
  <c r="BK23" i="69"/>
  <c r="AU23" i="69"/>
  <c r="AM23" i="69"/>
  <c r="CO23" i="69"/>
  <c r="BR23" i="69"/>
  <c r="BJ23" i="69"/>
  <c r="AT23" i="69"/>
  <c r="AL23" i="69"/>
  <c r="BZ23" i="69"/>
  <c r="BQ23" i="69"/>
  <c r="AS23" i="69"/>
  <c r="AK23" i="69"/>
  <c r="D23" i="69"/>
  <c r="BY23" i="69"/>
  <c r="BP23" i="69"/>
  <c r="BH23" i="69"/>
  <c r="AZ23" i="69"/>
  <c r="AR23" i="69"/>
  <c r="AJ23" i="69"/>
  <c r="AY23" i="69"/>
  <c r="BW23" i="69"/>
  <c r="AQ23" i="69"/>
  <c r="BO23" i="69"/>
  <c r="AI23" i="69"/>
  <c r="BG23" i="69"/>
  <c r="CW23" i="69"/>
  <c r="A25" i="69"/>
  <c r="AC19" i="23" s="1"/>
  <c r="F19" i="25" s="1"/>
  <c r="B24" i="69"/>
  <c r="AD18" i="23" s="1"/>
  <c r="G18" i="25" s="1"/>
  <c r="BB22" i="69"/>
  <c r="BA22" i="69"/>
  <c r="N22" i="69" s="1"/>
  <c r="BB22" i="68"/>
  <c r="BA22" i="68"/>
  <c r="N22" i="68" s="1"/>
  <c r="CA22" i="68"/>
  <c r="O22" i="68" s="1"/>
  <c r="CT23" i="68"/>
  <c r="CD23" i="68"/>
  <c r="BV23" i="68"/>
  <c r="BN23" i="68"/>
  <c r="AX23" i="68"/>
  <c r="AP23" i="68"/>
  <c r="AH23" i="68"/>
  <c r="CS23" i="68"/>
  <c r="BU23" i="68"/>
  <c r="BM23" i="68"/>
  <c r="AW23" i="68"/>
  <c r="AO23" i="68"/>
  <c r="AG23" i="68"/>
  <c r="CR23" i="68"/>
  <c r="BT23" i="68"/>
  <c r="BL23" i="68"/>
  <c r="AV23" i="68"/>
  <c r="AN23" i="68"/>
  <c r="BS23" i="68"/>
  <c r="BK23" i="68"/>
  <c r="AU23" i="68"/>
  <c r="AM23" i="68"/>
  <c r="CP23" i="68"/>
  <c r="CH23" i="68"/>
  <c r="BZ23" i="68"/>
  <c r="BR23" i="68"/>
  <c r="BJ23" i="68"/>
  <c r="AT23" i="68"/>
  <c r="AL23" i="68"/>
  <c r="CW23" i="68"/>
  <c r="CO23" i="68"/>
  <c r="BY23" i="68"/>
  <c r="BQ23" i="68"/>
  <c r="BI23" i="68"/>
  <c r="AS23" i="68"/>
  <c r="AK23" i="68"/>
  <c r="D23" i="68"/>
  <c r="AB17" i="23" s="1"/>
  <c r="E17" i="25" s="1"/>
  <c r="CV23" i="68"/>
  <c r="CN23" i="68"/>
  <c r="CF23" i="68"/>
  <c r="BX23" i="68"/>
  <c r="BP23" i="68"/>
  <c r="BH23" i="68"/>
  <c r="AZ23" i="68"/>
  <c r="AR23" i="68"/>
  <c r="AJ23" i="68"/>
  <c r="CU23" i="68"/>
  <c r="CE23" i="68"/>
  <c r="BW23" i="68"/>
  <c r="BO23" i="68"/>
  <c r="BG23" i="68"/>
  <c r="AY23" i="68"/>
  <c r="AQ23" i="68"/>
  <c r="AI23" i="68"/>
  <c r="B24" i="68"/>
  <c r="Z18" i="23" s="1"/>
  <c r="B18" i="25" s="1"/>
  <c r="A25" i="68"/>
  <c r="Y19" i="23" s="1"/>
  <c r="A19" i="25" s="1"/>
  <c r="BB22" i="65"/>
  <c r="BA22" i="65"/>
  <c r="N22" i="65" s="1"/>
  <c r="B24" i="65"/>
  <c r="N18" i="23" s="1"/>
  <c r="Q18" i="24" s="1"/>
  <c r="A25" i="65"/>
  <c r="M19" i="23" s="1"/>
  <c r="P19" i="24" s="1"/>
  <c r="CV23" i="65"/>
  <c r="CN23" i="65"/>
  <c r="BX23" i="65"/>
  <c r="BP23" i="65"/>
  <c r="AZ23" i="65"/>
  <c r="AR23" i="65"/>
  <c r="AJ23" i="65"/>
  <c r="CU23" i="65"/>
  <c r="BW23" i="65"/>
  <c r="BO23" i="65"/>
  <c r="BG23" i="65"/>
  <c r="AY23" i="65"/>
  <c r="AQ23" i="65"/>
  <c r="AI23" i="65"/>
  <c r="CT23" i="65"/>
  <c r="CD23" i="65"/>
  <c r="BV23" i="65"/>
  <c r="BN23" i="65"/>
  <c r="AX23" i="65"/>
  <c r="AP23" i="65"/>
  <c r="AH23" i="65"/>
  <c r="CS23" i="65"/>
  <c r="BU23" i="65"/>
  <c r="AW23" i="65"/>
  <c r="AO23" i="65"/>
  <c r="AG23" i="65"/>
  <c r="CR23" i="65"/>
  <c r="BT23" i="65"/>
  <c r="BL23" i="65"/>
  <c r="AV23" i="65"/>
  <c r="AN23" i="65"/>
  <c r="BS23" i="65"/>
  <c r="BK23" i="65"/>
  <c r="AU23" i="65"/>
  <c r="AM23" i="65"/>
  <c r="CP23" i="65"/>
  <c r="CH23" i="65"/>
  <c r="BZ23" i="65"/>
  <c r="BR23" i="65"/>
  <c r="BJ23" i="65"/>
  <c r="AT23" i="65"/>
  <c r="AL23" i="65"/>
  <c r="CW23" i="65"/>
  <c r="CO23" i="65"/>
  <c r="BY23" i="65"/>
  <c r="BQ23" i="65"/>
  <c r="BI23" i="65"/>
  <c r="AS23" i="65"/>
  <c r="AK23" i="65"/>
  <c r="D23" i="65"/>
  <c r="P17" i="23" s="1"/>
  <c r="T17" i="24" s="1"/>
  <c r="CU23" i="64"/>
  <c r="CE23" i="64"/>
  <c r="BW23" i="64"/>
  <c r="BO23" i="64"/>
  <c r="BG23" i="64"/>
  <c r="AY23" i="64"/>
  <c r="AQ23" i="64"/>
  <c r="AI23" i="64"/>
  <c r="CT23" i="64"/>
  <c r="CD23" i="64"/>
  <c r="BV23" i="64"/>
  <c r="BN23" i="64"/>
  <c r="AX23" i="64"/>
  <c r="AP23" i="64"/>
  <c r="CS23" i="64"/>
  <c r="BU23" i="64"/>
  <c r="BM23" i="64"/>
  <c r="AW23" i="64"/>
  <c r="AO23" i="64"/>
  <c r="CR23" i="64"/>
  <c r="BT23" i="64"/>
  <c r="BL23" i="64"/>
  <c r="AV23" i="64"/>
  <c r="AN23" i="64"/>
  <c r="BQ23" i="64"/>
  <c r="AR23" i="64"/>
  <c r="CP23" i="64"/>
  <c r="BP23" i="64"/>
  <c r="AM23" i="64"/>
  <c r="D23" i="64"/>
  <c r="L17" i="23" s="1"/>
  <c r="O17" i="24" s="1"/>
  <c r="CO23" i="64"/>
  <c r="BK23" i="64"/>
  <c r="AL23" i="64"/>
  <c r="CN23" i="64"/>
  <c r="BZ23" i="64"/>
  <c r="BJ23" i="64"/>
  <c r="AK23" i="64"/>
  <c r="BY23" i="64"/>
  <c r="BI23" i="64"/>
  <c r="AZ23" i="64"/>
  <c r="AJ23" i="64"/>
  <c r="CH23" i="64"/>
  <c r="BX23" i="64"/>
  <c r="BH23" i="64"/>
  <c r="AU23" i="64"/>
  <c r="AH23" i="64"/>
  <c r="CW23" i="64"/>
  <c r="BS23" i="64"/>
  <c r="AT23" i="64"/>
  <c r="AG23" i="64"/>
  <c r="CV23" i="64"/>
  <c r="CF23" i="64"/>
  <c r="BR23" i="64"/>
  <c r="AS23" i="64"/>
  <c r="B24" i="64"/>
  <c r="J18" i="23" s="1"/>
  <c r="L18" i="24" s="1"/>
  <c r="A25" i="64"/>
  <c r="I19" i="23" s="1"/>
  <c r="K19" i="24" s="1"/>
  <c r="BB22" i="64"/>
  <c r="BA22" i="64"/>
  <c r="N22" i="64" s="1"/>
  <c r="A25" i="63"/>
  <c r="E19" i="23" s="1"/>
  <c r="F19" i="24" s="1"/>
  <c r="B24" i="63"/>
  <c r="F18" i="23" s="1"/>
  <c r="G18" i="24" s="1"/>
  <c r="CW23" i="63"/>
  <c r="CO23" i="63"/>
  <c r="BY23" i="63"/>
  <c r="BQ23" i="63"/>
  <c r="BI23" i="63"/>
  <c r="AS23" i="63"/>
  <c r="AK23" i="63"/>
  <c r="D23" i="63"/>
  <c r="H17" i="23" s="1"/>
  <c r="J17" i="24" s="1"/>
  <c r="CV23" i="63"/>
  <c r="CN23" i="63"/>
  <c r="CF23" i="63"/>
  <c r="BX23" i="63"/>
  <c r="BP23" i="63"/>
  <c r="BH23" i="63"/>
  <c r="AZ23" i="63"/>
  <c r="AR23" i="63"/>
  <c r="AJ23" i="63"/>
  <c r="CU23" i="63"/>
  <c r="CE23" i="63"/>
  <c r="BW23" i="63"/>
  <c r="BO23" i="63"/>
  <c r="BG23" i="63"/>
  <c r="AY23" i="63"/>
  <c r="AQ23" i="63"/>
  <c r="AI23" i="63"/>
  <c r="CT23" i="63"/>
  <c r="CD23" i="63"/>
  <c r="BV23" i="63"/>
  <c r="BN23" i="63"/>
  <c r="AX23" i="63"/>
  <c r="AP23" i="63"/>
  <c r="AH23" i="63"/>
  <c r="CS23" i="63"/>
  <c r="BU23" i="63"/>
  <c r="BM23" i="63"/>
  <c r="AW23" i="63"/>
  <c r="AO23" i="63"/>
  <c r="AG23" i="63"/>
  <c r="CR23" i="63"/>
  <c r="BT23" i="63"/>
  <c r="BL23" i="63"/>
  <c r="AV23" i="63"/>
  <c r="AN23" i="63"/>
  <c r="BS23" i="63"/>
  <c r="BK23" i="63"/>
  <c r="AU23" i="63"/>
  <c r="AM23" i="63"/>
  <c r="CP23" i="63"/>
  <c r="BZ23" i="63"/>
  <c r="BR23" i="63"/>
  <c r="AT23" i="63"/>
  <c r="AL23" i="63"/>
  <c r="BB22" i="63"/>
  <c r="BA22" i="63"/>
  <c r="N22" i="63" s="1"/>
  <c r="Y22" i="63" s="1"/>
  <c r="AG18" i="23" l="1"/>
  <c r="K18" i="25" s="1"/>
  <c r="A25" i="70"/>
  <c r="B24" i="70"/>
  <c r="AH17" i="23"/>
  <c r="L17" i="25" s="1"/>
  <c r="CI23" i="70"/>
  <c r="AK23" i="70"/>
  <c r="AR23" i="70"/>
  <c r="BG23" i="70"/>
  <c r="AU23" i="70"/>
  <c r="BW23" i="70"/>
  <c r="AP23" i="70"/>
  <c r="CK23" i="70"/>
  <c r="D23" i="70"/>
  <c r="AJ23" i="70"/>
  <c r="AW23" i="70"/>
  <c r="AI23" i="70"/>
  <c r="BM23" i="70"/>
  <c r="CE23" i="70"/>
  <c r="CG23" i="70"/>
  <c r="CW23" i="70"/>
  <c r="CV23" i="70"/>
  <c r="CP23" i="70"/>
  <c r="AM23" i="70"/>
  <c r="CT23" i="70"/>
  <c r="AQ23" i="70"/>
  <c r="BU23" i="70"/>
  <c r="AY23" i="70"/>
  <c r="CL23" i="70"/>
  <c r="CO23" i="70"/>
  <c r="CF23" i="70"/>
  <c r="BT23" i="70"/>
  <c r="BR23" i="70"/>
  <c r="BZ23" i="70"/>
  <c r="AG23" i="70"/>
  <c r="BK23" i="70"/>
  <c r="CR23" i="70"/>
  <c r="CQ23" i="70"/>
  <c r="BY23" i="70"/>
  <c r="BX23" i="70"/>
  <c r="BJ23" i="70"/>
  <c r="AV23" i="70"/>
  <c r="BN23" i="70"/>
  <c r="CM23" i="70"/>
  <c r="BQ23" i="70"/>
  <c r="BP23" i="70"/>
  <c r="AX23" i="70"/>
  <c r="AL23" i="70"/>
  <c r="AT23" i="70"/>
  <c r="CH23" i="70"/>
  <c r="AO23" i="70"/>
  <c r="CJ23" i="70"/>
  <c r="BI23" i="70"/>
  <c r="BH23" i="70"/>
  <c r="AN23" i="70"/>
  <c r="CU23" i="70"/>
  <c r="AH23" i="70"/>
  <c r="BV23" i="70"/>
  <c r="AS23" i="70"/>
  <c r="AZ23" i="70"/>
  <c r="BS23" i="70"/>
  <c r="BO23" i="70"/>
  <c r="CS23" i="70"/>
  <c r="BL23" i="70"/>
  <c r="BB22" i="70"/>
  <c r="BA22" i="70"/>
  <c r="N22" i="70" s="1"/>
  <c r="AJ16" i="23"/>
  <c r="O16" i="25"/>
  <c r="Y16" i="25"/>
  <c r="AR16" i="23"/>
  <c r="V17" i="23"/>
  <c r="AA17" i="24" s="1"/>
  <c r="CJ23" i="67"/>
  <c r="CR23" i="67"/>
  <c r="CV23" i="67"/>
  <c r="AJ23" i="67"/>
  <c r="AI23" i="67"/>
  <c r="BY23" i="67"/>
  <c r="BK23" i="67"/>
  <c r="D23" i="67"/>
  <c r="X17" i="23" s="1"/>
  <c r="AD17" i="24" s="1"/>
  <c r="AK23" i="67"/>
  <c r="AR23" i="67"/>
  <c r="CK23" i="67"/>
  <c r="BT23" i="67"/>
  <c r="CN23" i="67"/>
  <c r="CU23" i="67"/>
  <c r="CT23" i="67"/>
  <c r="AM23" i="67"/>
  <c r="AY23" i="67"/>
  <c r="CL23" i="67"/>
  <c r="CS23" i="67"/>
  <c r="BL23" i="67"/>
  <c r="CF23" i="67"/>
  <c r="CE23" i="67"/>
  <c r="BV23" i="67"/>
  <c r="BS23" i="67"/>
  <c r="BJ23" i="67"/>
  <c r="AO23" i="67"/>
  <c r="BZ23" i="67"/>
  <c r="CM23" i="67"/>
  <c r="BU23" i="67"/>
  <c r="AV23" i="67"/>
  <c r="BX23" i="67"/>
  <c r="BW23" i="67"/>
  <c r="BN23" i="67"/>
  <c r="AL23" i="67"/>
  <c r="AU23" i="67"/>
  <c r="CH23" i="67"/>
  <c r="AQ23" i="67"/>
  <c r="BM23" i="67"/>
  <c r="AN23" i="67"/>
  <c r="BP23" i="67"/>
  <c r="BO23" i="67"/>
  <c r="AX23" i="67"/>
  <c r="CO23" i="67"/>
  <c r="BI23" i="67"/>
  <c r="AH23" i="67"/>
  <c r="CW23" i="67"/>
  <c r="AW23" i="67"/>
  <c r="CP23" i="67"/>
  <c r="BH23" i="67"/>
  <c r="BG23" i="67"/>
  <c r="AP23" i="67"/>
  <c r="BR23" i="67"/>
  <c r="AT23" i="67"/>
  <c r="AZ23" i="67"/>
  <c r="CQ23" i="67"/>
  <c r="AS23" i="67"/>
  <c r="AG23" i="67"/>
  <c r="CG23" i="67"/>
  <c r="BQ23" i="67"/>
  <c r="U18" i="23"/>
  <c r="Z18" i="24" s="1"/>
  <c r="A25" i="67"/>
  <c r="B24" i="67"/>
  <c r="T17" i="25"/>
  <c r="AN17" i="23"/>
  <c r="AD17" i="25"/>
  <c r="AV17" i="23"/>
  <c r="BA22" i="67"/>
  <c r="N22" i="67" s="1"/>
  <c r="BB22" i="67"/>
  <c r="CX22" i="67"/>
  <c r="P22" i="67" s="1"/>
  <c r="AF17" i="23"/>
  <c r="J17" i="25"/>
  <c r="CA22" i="67"/>
  <c r="O22" i="67" s="1"/>
  <c r="BB22" i="66"/>
  <c r="BA22" i="66"/>
  <c r="N22" i="66" s="1"/>
  <c r="R17" i="23"/>
  <c r="V17" i="24" s="1"/>
  <c r="AU23" i="66"/>
  <c r="BQ23" i="66"/>
  <c r="AQ23" i="66"/>
  <c r="AO23" i="66"/>
  <c r="CD23" i="66"/>
  <c r="CR23" i="66"/>
  <c r="AH23" i="66"/>
  <c r="AM23" i="66"/>
  <c r="BI23" i="66"/>
  <c r="AG23" i="66"/>
  <c r="CV23" i="66"/>
  <c r="BP23" i="66"/>
  <c r="BN23" i="66"/>
  <c r="CP23" i="66"/>
  <c r="AS23" i="66"/>
  <c r="BV23" i="66"/>
  <c r="CF23" i="66"/>
  <c r="AW23" i="66"/>
  <c r="AT23" i="66"/>
  <c r="CI23" i="66"/>
  <c r="BZ23" i="66"/>
  <c r="AK23" i="66"/>
  <c r="AZ23" i="66"/>
  <c r="BT23" i="66"/>
  <c r="AL23" i="66"/>
  <c r="AI23" i="66"/>
  <c r="CJ23" i="66"/>
  <c r="BR23" i="66"/>
  <c r="CU23" i="66"/>
  <c r="AP23" i="66"/>
  <c r="BG23" i="66"/>
  <c r="D23" i="66"/>
  <c r="T17" i="23" s="1"/>
  <c r="Y17" i="24" s="1"/>
  <c r="CN23" i="66"/>
  <c r="CK23" i="66"/>
  <c r="CW23" i="66"/>
  <c r="CE23" i="66"/>
  <c r="BU23" i="66"/>
  <c r="AX23" i="66"/>
  <c r="CS23" i="66"/>
  <c r="BX23" i="66"/>
  <c r="CQ23" i="66"/>
  <c r="BS23" i="66"/>
  <c r="CO23" i="66"/>
  <c r="BW23" i="66"/>
  <c r="BH23" i="66"/>
  <c r="AN23" i="66"/>
  <c r="AV23" i="66"/>
  <c r="BM23" i="66"/>
  <c r="AR23" i="66"/>
  <c r="CL23" i="66"/>
  <c r="BK23" i="66"/>
  <c r="BY23" i="66"/>
  <c r="BL23" i="66"/>
  <c r="AY23" i="66"/>
  <c r="CT23" i="66"/>
  <c r="AJ23" i="66"/>
  <c r="Q18" i="23"/>
  <c r="U18" i="24" s="1"/>
  <c r="A25" i="66"/>
  <c r="B24" i="66"/>
  <c r="CQ24" i="73"/>
  <c r="CJ24" i="73"/>
  <c r="CK24" i="73"/>
  <c r="CL24" i="73"/>
  <c r="CG24" i="73"/>
  <c r="CI24" i="73"/>
  <c r="CM24" i="73"/>
  <c r="CI24" i="68"/>
  <c r="CQ24" i="68"/>
  <c r="CJ24" i="68"/>
  <c r="CK24" i="68"/>
  <c r="CL24" i="68"/>
  <c r="CG24" i="68"/>
  <c r="CM24" i="68"/>
  <c r="CJ23" i="72"/>
  <c r="CK23" i="72"/>
  <c r="CL23" i="72"/>
  <c r="CQ23" i="72"/>
  <c r="CM23" i="72"/>
  <c r="CI23" i="72"/>
  <c r="CI24" i="69"/>
  <c r="CJ24" i="69"/>
  <c r="CK24" i="69"/>
  <c r="CL24" i="69"/>
  <c r="CM24" i="69"/>
  <c r="CQ24" i="69"/>
  <c r="CJ24" i="71"/>
  <c r="CK24" i="71"/>
  <c r="CI24" i="71"/>
  <c r="CL24" i="71"/>
  <c r="CM24" i="71"/>
  <c r="CI24" i="65"/>
  <c r="CQ24" i="65"/>
  <c r="CJ24" i="65"/>
  <c r="CK24" i="65"/>
  <c r="CM24" i="65"/>
  <c r="CI24" i="64"/>
  <c r="CL24" i="64"/>
  <c r="CM24" i="64"/>
  <c r="CQ24" i="64"/>
  <c r="CJ24" i="64"/>
  <c r="CK24" i="64"/>
  <c r="CG24" i="64"/>
  <c r="CI24" i="63"/>
  <c r="CJ24" i="63"/>
  <c r="CK24" i="63"/>
  <c r="CL24" i="63"/>
  <c r="CM24" i="63"/>
  <c r="CG24" i="63"/>
  <c r="CQ24" i="63"/>
  <c r="CX23" i="64"/>
  <c r="P23" i="64" s="1"/>
  <c r="CX23" i="73"/>
  <c r="P23" i="73" s="1"/>
  <c r="CX23" i="68"/>
  <c r="P23" i="68" s="1"/>
  <c r="Q22" i="73"/>
  <c r="BB23" i="73"/>
  <c r="BA23" i="73"/>
  <c r="N23" i="73" s="1"/>
  <c r="CS24" i="73"/>
  <c r="BU24" i="73"/>
  <c r="BM24" i="73"/>
  <c r="AW24" i="73"/>
  <c r="AO24" i="73"/>
  <c r="AG24" i="73"/>
  <c r="CR24" i="73"/>
  <c r="BT24" i="73"/>
  <c r="BL24" i="73"/>
  <c r="AV24" i="73"/>
  <c r="AN24" i="73"/>
  <c r="BS24" i="73"/>
  <c r="BK24" i="73"/>
  <c r="AU24" i="73"/>
  <c r="AM24" i="73"/>
  <c r="CP24" i="73"/>
  <c r="CH24" i="73"/>
  <c r="BZ24" i="73"/>
  <c r="BR24" i="73"/>
  <c r="BJ24" i="73"/>
  <c r="AT24" i="73"/>
  <c r="AL24" i="73"/>
  <c r="CW24" i="73"/>
  <c r="CO24" i="73"/>
  <c r="BY24" i="73"/>
  <c r="BQ24" i="73"/>
  <c r="BI24" i="73"/>
  <c r="AS24" i="73"/>
  <c r="AK24" i="73"/>
  <c r="D24" i="73"/>
  <c r="CV24" i="73"/>
  <c r="CN24" i="73"/>
  <c r="CF24" i="73"/>
  <c r="BX24" i="73"/>
  <c r="BP24" i="73"/>
  <c r="BH24" i="73"/>
  <c r="AZ24" i="73"/>
  <c r="AR24" i="73"/>
  <c r="AJ24" i="73"/>
  <c r="CU24" i="73"/>
  <c r="CE24" i="73"/>
  <c r="BW24" i="73"/>
  <c r="BO24" i="73"/>
  <c r="BG24" i="73"/>
  <c r="CT24" i="73"/>
  <c r="CD24" i="73"/>
  <c r="BV24" i="73"/>
  <c r="BN24" i="73"/>
  <c r="AX24" i="73"/>
  <c r="AP24" i="73"/>
  <c r="AH24" i="73"/>
  <c r="AY24" i="73"/>
  <c r="AQ24" i="73"/>
  <c r="AI24" i="73"/>
  <c r="CA23" i="73"/>
  <c r="O23" i="73" s="1"/>
  <c r="B25" i="73"/>
  <c r="AT19" i="23" s="1"/>
  <c r="AA19" i="25" s="1"/>
  <c r="A26" i="73"/>
  <c r="AS20" i="23" s="1"/>
  <c r="Z20" i="25" s="1"/>
  <c r="BB22" i="72"/>
  <c r="BA22" i="72"/>
  <c r="N22" i="72" s="1"/>
  <c r="A25" i="72"/>
  <c r="AO19" i="23" s="1"/>
  <c r="U19" i="25" s="1"/>
  <c r="B24" i="72"/>
  <c r="AP18" i="23" s="1"/>
  <c r="V18" i="25" s="1"/>
  <c r="BS23" i="72"/>
  <c r="BK23" i="72"/>
  <c r="AU23" i="72"/>
  <c r="AM23" i="72"/>
  <c r="CP23" i="72"/>
  <c r="CH23" i="72"/>
  <c r="BZ23" i="72"/>
  <c r="BR23" i="72"/>
  <c r="AT23" i="72"/>
  <c r="AL23" i="72"/>
  <c r="CW23" i="72"/>
  <c r="CO23" i="72"/>
  <c r="BQ23" i="72"/>
  <c r="BI23" i="72"/>
  <c r="AS23" i="72"/>
  <c r="AK23" i="72"/>
  <c r="D23" i="72"/>
  <c r="CN23" i="72"/>
  <c r="CF23" i="72"/>
  <c r="BX23" i="72"/>
  <c r="BP23" i="72"/>
  <c r="BH23" i="72"/>
  <c r="AZ23" i="72"/>
  <c r="AR23" i="72"/>
  <c r="AJ23" i="72"/>
  <c r="CT23" i="72"/>
  <c r="CD23" i="72"/>
  <c r="BV23" i="72"/>
  <c r="BN23" i="72"/>
  <c r="CR23" i="72"/>
  <c r="BW23" i="72"/>
  <c r="AP23" i="72"/>
  <c r="CS23" i="72"/>
  <c r="BT23" i="72"/>
  <c r="AN23" i="72"/>
  <c r="BO23" i="72"/>
  <c r="AY23" i="72"/>
  <c r="AI23" i="72"/>
  <c r="BM23" i="72"/>
  <c r="AX23" i="72"/>
  <c r="AH23" i="72"/>
  <c r="CE23" i="72"/>
  <c r="BL23" i="72"/>
  <c r="AW23" i="72"/>
  <c r="AG23" i="72"/>
  <c r="BG23" i="72"/>
  <c r="AV23" i="72"/>
  <c r="AQ23" i="72"/>
  <c r="CU23" i="72"/>
  <c r="AO23" i="72"/>
  <c r="BU23" i="72"/>
  <c r="BB23" i="71"/>
  <c r="BA23" i="71"/>
  <c r="N23" i="71" s="1"/>
  <c r="Y22" i="71" s="1"/>
  <c r="CP24" i="71"/>
  <c r="CH24" i="71"/>
  <c r="BZ24" i="71"/>
  <c r="BJ24" i="71"/>
  <c r="AT24" i="71"/>
  <c r="AL24" i="71"/>
  <c r="CW24" i="71"/>
  <c r="BY24" i="71"/>
  <c r="BQ24" i="71"/>
  <c r="BI24" i="71"/>
  <c r="AS24" i="71"/>
  <c r="AK24" i="71"/>
  <c r="D24" i="71"/>
  <c r="CV24" i="71"/>
  <c r="CN24" i="71"/>
  <c r="CF24" i="71"/>
  <c r="BX24" i="71"/>
  <c r="BP24" i="71"/>
  <c r="AZ24" i="71"/>
  <c r="AR24" i="71"/>
  <c r="AJ24" i="71"/>
  <c r="CD24" i="71"/>
  <c r="BV24" i="71"/>
  <c r="BN24" i="71"/>
  <c r="AX24" i="71"/>
  <c r="AP24" i="71"/>
  <c r="AH24" i="71"/>
  <c r="BG24" i="71"/>
  <c r="AU24" i="71"/>
  <c r="BU24" i="71"/>
  <c r="AQ24" i="71"/>
  <c r="BT24" i="71"/>
  <c r="AO24" i="71"/>
  <c r="BS24" i="71"/>
  <c r="AN24" i="71"/>
  <c r="CU24" i="71"/>
  <c r="BO24" i="71"/>
  <c r="AM24" i="71"/>
  <c r="CS24" i="71"/>
  <c r="BM24" i="71"/>
  <c r="AY24" i="71"/>
  <c r="AI24" i="71"/>
  <c r="CR24" i="71"/>
  <c r="BL24" i="71"/>
  <c r="AW24" i="71"/>
  <c r="AG24" i="71"/>
  <c r="BK24" i="71"/>
  <c r="AV24" i="71"/>
  <c r="A26" i="71"/>
  <c r="AK20" i="23" s="1"/>
  <c r="P20" i="25" s="1"/>
  <c r="B25" i="71"/>
  <c r="AL19" i="23" s="1"/>
  <c r="Q19" i="25" s="1"/>
  <c r="BB23" i="69"/>
  <c r="BA23" i="69"/>
  <c r="N23" i="69" s="1"/>
  <c r="BS24" i="69"/>
  <c r="BK24" i="69"/>
  <c r="AU24" i="69"/>
  <c r="AM24" i="69"/>
  <c r="CP24" i="69"/>
  <c r="CH24" i="69"/>
  <c r="BZ24" i="69"/>
  <c r="BR24" i="69"/>
  <c r="AT24" i="69"/>
  <c r="AL24" i="69"/>
  <c r="CW24" i="69"/>
  <c r="CO24" i="69"/>
  <c r="BY24" i="69"/>
  <c r="BQ24" i="69"/>
  <c r="BI24" i="69"/>
  <c r="AS24" i="69"/>
  <c r="AK24" i="69"/>
  <c r="D24" i="69"/>
  <c r="CS24" i="69"/>
  <c r="CE24" i="69"/>
  <c r="AV24" i="69"/>
  <c r="AH24" i="69"/>
  <c r="CR24" i="69"/>
  <c r="CD24" i="69"/>
  <c r="BP24" i="69"/>
  <c r="AR24" i="69"/>
  <c r="AG24" i="69"/>
  <c r="CN24" i="69"/>
  <c r="AQ24" i="69"/>
  <c r="BN24" i="69"/>
  <c r="AP24" i="69"/>
  <c r="BX24" i="69"/>
  <c r="BM24" i="69"/>
  <c r="AZ24" i="69"/>
  <c r="AO24" i="69"/>
  <c r="CV24" i="69"/>
  <c r="BW24" i="69"/>
  <c r="BL24" i="69"/>
  <c r="AY24" i="69"/>
  <c r="AN24" i="69"/>
  <c r="CU24" i="69"/>
  <c r="BV24" i="69"/>
  <c r="BH24" i="69"/>
  <c r="AX24" i="69"/>
  <c r="AJ24" i="69"/>
  <c r="CT24" i="69"/>
  <c r="CF24" i="69"/>
  <c r="AW24" i="69"/>
  <c r="AI24" i="69"/>
  <c r="BU24" i="69"/>
  <c r="BG24" i="69"/>
  <c r="A26" i="69"/>
  <c r="AC20" i="23" s="1"/>
  <c r="F20" i="25" s="1"/>
  <c r="B25" i="69"/>
  <c r="AD19" i="23" s="1"/>
  <c r="G19" i="25" s="1"/>
  <c r="A26" i="68"/>
  <c r="Y20" i="23" s="1"/>
  <c r="A20" i="25" s="1"/>
  <c r="B25" i="68"/>
  <c r="Z19" i="23" s="1"/>
  <c r="B19" i="25" s="1"/>
  <c r="CA23" i="68"/>
  <c r="O23" i="68" s="1"/>
  <c r="CW24" i="68"/>
  <c r="CO24" i="68"/>
  <c r="BY24" i="68"/>
  <c r="BQ24" i="68"/>
  <c r="BI24" i="68"/>
  <c r="AS24" i="68"/>
  <c r="AK24" i="68"/>
  <c r="D24" i="68"/>
  <c r="AB18" i="23" s="1"/>
  <c r="E18" i="25" s="1"/>
  <c r="CV24" i="68"/>
  <c r="CN24" i="68"/>
  <c r="CF24" i="68"/>
  <c r="BX24" i="68"/>
  <c r="BP24" i="68"/>
  <c r="BH24" i="68"/>
  <c r="AZ24" i="68"/>
  <c r="AR24" i="68"/>
  <c r="AJ24" i="68"/>
  <c r="CU24" i="68"/>
  <c r="CE24" i="68"/>
  <c r="BW24" i="68"/>
  <c r="BO24" i="68"/>
  <c r="BG24" i="68"/>
  <c r="AY24" i="68"/>
  <c r="AQ24" i="68"/>
  <c r="AI24" i="68"/>
  <c r="CT24" i="68"/>
  <c r="CD24" i="68"/>
  <c r="BV24" i="68"/>
  <c r="BN24" i="68"/>
  <c r="AX24" i="68"/>
  <c r="AP24" i="68"/>
  <c r="AH24" i="68"/>
  <c r="CS24" i="68"/>
  <c r="BU24" i="68"/>
  <c r="BM24" i="68"/>
  <c r="AW24" i="68"/>
  <c r="AO24" i="68"/>
  <c r="AG24" i="68"/>
  <c r="CR24" i="68"/>
  <c r="BT24" i="68"/>
  <c r="BL24" i="68"/>
  <c r="AV24" i="68"/>
  <c r="AN24" i="68"/>
  <c r="BS24" i="68"/>
  <c r="BK24" i="68"/>
  <c r="AU24" i="68"/>
  <c r="AM24" i="68"/>
  <c r="CP24" i="68"/>
  <c r="CH24" i="68"/>
  <c r="BZ24" i="68"/>
  <c r="BR24" i="68"/>
  <c r="BJ24" i="68"/>
  <c r="AT24" i="68"/>
  <c r="AL24" i="68"/>
  <c r="BB23" i="68"/>
  <c r="BA23" i="68"/>
  <c r="N23" i="68" s="1"/>
  <c r="Q22" i="68"/>
  <c r="BB23" i="65"/>
  <c r="BA23" i="65"/>
  <c r="N23" i="65" s="1"/>
  <c r="A26" i="65"/>
  <c r="M20" i="23" s="1"/>
  <c r="P20" i="24" s="1"/>
  <c r="B25" i="65"/>
  <c r="N19" i="23" s="1"/>
  <c r="Q19" i="24" s="1"/>
  <c r="CP24" i="65"/>
  <c r="CH24" i="65"/>
  <c r="BZ24" i="65"/>
  <c r="BR24" i="65"/>
  <c r="BJ24" i="65"/>
  <c r="AT24" i="65"/>
  <c r="AL24" i="65"/>
  <c r="CW24" i="65"/>
  <c r="CO24" i="65"/>
  <c r="BY24" i="65"/>
  <c r="BQ24" i="65"/>
  <c r="CN24" i="65"/>
  <c r="CD24" i="65"/>
  <c r="BT24" i="65"/>
  <c r="BH24" i="65"/>
  <c r="AX24" i="65"/>
  <c r="AO24" i="65"/>
  <c r="BS24" i="65"/>
  <c r="BG24" i="65"/>
  <c r="AW24" i="65"/>
  <c r="AN24" i="65"/>
  <c r="CV24" i="65"/>
  <c r="BP24" i="65"/>
  <c r="AV24" i="65"/>
  <c r="AM24" i="65"/>
  <c r="D24" i="65"/>
  <c r="P18" i="23" s="1"/>
  <c r="T18" i="24" s="1"/>
  <c r="CU24" i="65"/>
  <c r="BO24" i="65"/>
  <c r="AU24" i="65"/>
  <c r="AK24" i="65"/>
  <c r="CT24" i="65"/>
  <c r="BX24" i="65"/>
  <c r="AS24" i="65"/>
  <c r="AJ24" i="65"/>
  <c r="CS24" i="65"/>
  <c r="BW24" i="65"/>
  <c r="BM24" i="65"/>
  <c r="AR24" i="65"/>
  <c r="AI24" i="65"/>
  <c r="CR24" i="65"/>
  <c r="BV24" i="65"/>
  <c r="BL24" i="65"/>
  <c r="AZ24" i="65"/>
  <c r="AQ24" i="65"/>
  <c r="AH24" i="65"/>
  <c r="CE24" i="65"/>
  <c r="BU24" i="65"/>
  <c r="BK24" i="65"/>
  <c r="AY24" i="65"/>
  <c r="AP24" i="65"/>
  <c r="AG24" i="65"/>
  <c r="BB23" i="64"/>
  <c r="BA23" i="64"/>
  <c r="N23" i="64" s="1"/>
  <c r="CA23" i="64"/>
  <c r="O23" i="64" s="1"/>
  <c r="A26" i="64"/>
  <c r="I20" i="23" s="1"/>
  <c r="K20" i="24" s="1"/>
  <c r="B25" i="64"/>
  <c r="J19" i="23" s="1"/>
  <c r="L19" i="24" s="1"/>
  <c r="CP24" i="64"/>
  <c r="CH24" i="64"/>
  <c r="BZ24" i="64"/>
  <c r="BR24" i="64"/>
  <c r="BJ24" i="64"/>
  <c r="AT24" i="64"/>
  <c r="AL24" i="64"/>
  <c r="CW24" i="64"/>
  <c r="CO24" i="64"/>
  <c r="BY24" i="64"/>
  <c r="BQ24" i="64"/>
  <c r="BI24" i="64"/>
  <c r="AS24" i="64"/>
  <c r="AK24" i="64"/>
  <c r="D24" i="64"/>
  <c r="L18" i="23" s="1"/>
  <c r="O18" i="24" s="1"/>
  <c r="CV24" i="64"/>
  <c r="CN24" i="64"/>
  <c r="CF24" i="64"/>
  <c r="BX24" i="64"/>
  <c r="BP24" i="64"/>
  <c r="BH24" i="64"/>
  <c r="AZ24" i="64"/>
  <c r="AR24" i="64"/>
  <c r="AJ24" i="64"/>
  <c r="CU24" i="64"/>
  <c r="CE24" i="64"/>
  <c r="BW24" i="64"/>
  <c r="BO24" i="64"/>
  <c r="BG24" i="64"/>
  <c r="AY24" i="64"/>
  <c r="AQ24" i="64"/>
  <c r="AI24" i="64"/>
  <c r="CT24" i="64"/>
  <c r="CD24" i="64"/>
  <c r="BN24" i="64"/>
  <c r="AX24" i="64"/>
  <c r="AH24" i="64"/>
  <c r="CS24" i="64"/>
  <c r="BM24" i="64"/>
  <c r="AW24" i="64"/>
  <c r="AG24" i="64"/>
  <c r="CR24" i="64"/>
  <c r="BL24" i="64"/>
  <c r="AV24" i="64"/>
  <c r="BK24" i="64"/>
  <c r="AU24" i="64"/>
  <c r="BV24" i="64"/>
  <c r="AP24" i="64"/>
  <c r="BU24" i="64"/>
  <c r="AO24" i="64"/>
  <c r="BT24" i="64"/>
  <c r="AN24" i="64"/>
  <c r="BS24" i="64"/>
  <c r="AM24" i="64"/>
  <c r="BB23" i="63"/>
  <c r="BA23" i="63"/>
  <c r="N23" i="63" s="1"/>
  <c r="Y23" i="63" s="1"/>
  <c r="CW24" i="63"/>
  <c r="CO24" i="63"/>
  <c r="BY24" i="63"/>
  <c r="CV24" i="63"/>
  <c r="CN24" i="63"/>
  <c r="CF24" i="63"/>
  <c r="BX24" i="63"/>
  <c r="BP24" i="63"/>
  <c r="BH24" i="63"/>
  <c r="AZ24" i="63"/>
  <c r="AR24" i="63"/>
  <c r="CT24" i="63"/>
  <c r="BZ24" i="63"/>
  <c r="BO24" i="63"/>
  <c r="AW24" i="63"/>
  <c r="AN24" i="63"/>
  <c r="CS24" i="63"/>
  <c r="BW24" i="63"/>
  <c r="BN24" i="63"/>
  <c r="AV24" i="63"/>
  <c r="AM24" i="63"/>
  <c r="CR24" i="63"/>
  <c r="BV24" i="63"/>
  <c r="BM24" i="63"/>
  <c r="AU24" i="63"/>
  <c r="AL24" i="63"/>
  <c r="CE24" i="63"/>
  <c r="BU24" i="63"/>
  <c r="BL24" i="63"/>
  <c r="AT24" i="63"/>
  <c r="AK24" i="63"/>
  <c r="D24" i="63"/>
  <c r="H18" i="23" s="1"/>
  <c r="J18" i="24" s="1"/>
  <c r="CP24" i="63"/>
  <c r="CD24" i="63"/>
  <c r="BT24" i="63"/>
  <c r="AS24" i="63"/>
  <c r="AJ24" i="63"/>
  <c r="BS24" i="63"/>
  <c r="BJ24" i="63"/>
  <c r="AQ24" i="63"/>
  <c r="AI24" i="63"/>
  <c r="BR24" i="63"/>
  <c r="BI24" i="63"/>
  <c r="AY24" i="63"/>
  <c r="AP24" i="63"/>
  <c r="AH24" i="63"/>
  <c r="CU24" i="63"/>
  <c r="BQ24" i="63"/>
  <c r="BG24" i="63"/>
  <c r="AX24" i="63"/>
  <c r="AO24" i="63"/>
  <c r="AG24" i="63"/>
  <c r="A26" i="63"/>
  <c r="E20" i="23" s="1"/>
  <c r="F20" i="24" s="1"/>
  <c r="B25" i="63"/>
  <c r="F19" i="23" s="1"/>
  <c r="G19" i="24" s="1"/>
  <c r="CA23" i="70" l="1"/>
  <c r="O23" i="70" s="1"/>
  <c r="O17" i="25"/>
  <c r="AJ17" i="23"/>
  <c r="AH18" i="23"/>
  <c r="L18" i="25" s="1"/>
  <c r="CM24" i="70"/>
  <c r="BK24" i="70"/>
  <c r="AK24" i="70"/>
  <c r="BW24" i="70"/>
  <c r="CN24" i="70"/>
  <c r="BH24" i="70"/>
  <c r="D24" i="70"/>
  <c r="BP24" i="70"/>
  <c r="AU24" i="70"/>
  <c r="CS24" i="70"/>
  <c r="BM24" i="70"/>
  <c r="CD24" i="70"/>
  <c r="AZ24" i="70"/>
  <c r="CU24" i="70"/>
  <c r="CV24" i="70"/>
  <c r="CI24" i="70"/>
  <c r="CR24" i="70"/>
  <c r="AM24" i="70"/>
  <c r="BX24" i="70"/>
  <c r="AS24" i="70"/>
  <c r="BU24" i="70"/>
  <c r="AP24" i="70"/>
  <c r="BZ24" i="70"/>
  <c r="BI24" i="70"/>
  <c r="CG24" i="70"/>
  <c r="BT24" i="70"/>
  <c r="CT24" i="70"/>
  <c r="BN24" i="70"/>
  <c r="AI24" i="70"/>
  <c r="AX24" i="70"/>
  <c r="CQ24" i="70"/>
  <c r="BL24" i="70"/>
  <c r="CH24" i="70"/>
  <c r="AT24" i="70"/>
  <c r="BV24" i="70"/>
  <c r="AQ24" i="70"/>
  <c r="BQ24" i="70"/>
  <c r="CJ24" i="70"/>
  <c r="AV24" i="70"/>
  <c r="BY24" i="70"/>
  <c r="AJ24" i="70"/>
  <c r="BJ24" i="70"/>
  <c r="AG24" i="70"/>
  <c r="BG24" i="70"/>
  <c r="AL24" i="70"/>
  <c r="CK24" i="70"/>
  <c r="AN24" i="70"/>
  <c r="BO24" i="70"/>
  <c r="CP24" i="70"/>
  <c r="AR24" i="70"/>
  <c r="CW24" i="70"/>
  <c r="AY24" i="70"/>
  <c r="BR24" i="70"/>
  <c r="CL24" i="70"/>
  <c r="BS24" i="70"/>
  <c r="AW24" i="70"/>
  <c r="CF24" i="70"/>
  <c r="AH24" i="70"/>
  <c r="AO24" i="70"/>
  <c r="BB23" i="70"/>
  <c r="BA23" i="70"/>
  <c r="N23" i="70" s="1"/>
  <c r="Y23" i="70" s="1"/>
  <c r="AG19" i="23"/>
  <c r="K19" i="25" s="1"/>
  <c r="A26" i="70"/>
  <c r="B25" i="70"/>
  <c r="AN18" i="23"/>
  <c r="T18" i="25"/>
  <c r="Q22" i="67"/>
  <c r="Y17" i="25"/>
  <c r="AR17" i="23"/>
  <c r="AD18" i="25"/>
  <c r="AV18" i="23"/>
  <c r="CA23" i="67"/>
  <c r="O23" i="67" s="1"/>
  <c r="BB23" i="67"/>
  <c r="BA23" i="67"/>
  <c r="N23" i="67" s="1"/>
  <c r="Y22" i="67" s="1"/>
  <c r="J18" i="25"/>
  <c r="AF18" i="23"/>
  <c r="V18" i="23"/>
  <c r="AA18" i="24" s="1"/>
  <c r="CK24" i="67"/>
  <c r="BP24" i="67"/>
  <c r="AY24" i="67"/>
  <c r="AH24" i="67"/>
  <c r="BT24" i="67"/>
  <c r="CH24" i="67"/>
  <c r="BY24" i="67"/>
  <c r="BZ24" i="67"/>
  <c r="BH24" i="67"/>
  <c r="AQ24" i="67"/>
  <c r="CS24" i="67"/>
  <c r="AV24" i="67"/>
  <c r="BI24" i="67"/>
  <c r="AZ24" i="67"/>
  <c r="AI24" i="67"/>
  <c r="BU24" i="67"/>
  <c r="AN24" i="67"/>
  <c r="BR24" i="67"/>
  <c r="AS24" i="67"/>
  <c r="CI24" i="67"/>
  <c r="AR24" i="67"/>
  <c r="CT24" i="67"/>
  <c r="BM24" i="67"/>
  <c r="BS24" i="67"/>
  <c r="BJ24" i="67"/>
  <c r="AK24" i="67"/>
  <c r="CQ24" i="67"/>
  <c r="AJ24" i="67"/>
  <c r="BV24" i="67"/>
  <c r="AW24" i="67"/>
  <c r="BK24" i="67"/>
  <c r="AT24" i="67"/>
  <c r="D24" i="67"/>
  <c r="X18" i="23" s="1"/>
  <c r="AD18" i="24" s="1"/>
  <c r="CL24" i="67"/>
  <c r="CV24" i="67"/>
  <c r="CU24" i="67"/>
  <c r="BN24" i="67"/>
  <c r="AO24" i="67"/>
  <c r="AU24" i="67"/>
  <c r="AL24" i="67"/>
  <c r="BX24" i="67"/>
  <c r="AP24" i="67"/>
  <c r="CO24" i="67"/>
  <c r="CG24" i="67"/>
  <c r="CF24" i="67"/>
  <c r="BW24" i="67"/>
  <c r="AX24" i="67"/>
  <c r="AG24" i="67"/>
  <c r="AM24" i="67"/>
  <c r="CW24" i="67"/>
  <c r="BO24" i="67"/>
  <c r="CP24" i="67"/>
  <c r="CM24" i="67"/>
  <c r="CR24" i="67"/>
  <c r="U19" i="23"/>
  <c r="Z19" i="24" s="1"/>
  <c r="B25" i="67"/>
  <c r="A26" i="67"/>
  <c r="R18" i="23"/>
  <c r="V18" i="24" s="1"/>
  <c r="CL24" i="66"/>
  <c r="BO24" i="66"/>
  <c r="AH24" i="66"/>
  <c r="BT24" i="66"/>
  <c r="AT24" i="66"/>
  <c r="BS24" i="66"/>
  <c r="CW24" i="66"/>
  <c r="CF24" i="66"/>
  <c r="CG24" i="66"/>
  <c r="BG24" i="66"/>
  <c r="CS24" i="66"/>
  <c r="BL24" i="66"/>
  <c r="AL24" i="66"/>
  <c r="AQ24" i="66"/>
  <c r="BI24" i="66"/>
  <c r="CV24" i="66"/>
  <c r="CQ24" i="66"/>
  <c r="CT24" i="66"/>
  <c r="BU24" i="66"/>
  <c r="AV24" i="66"/>
  <c r="CO24" i="66"/>
  <c r="BQ24" i="66"/>
  <c r="AY24" i="66"/>
  <c r="AI24" i="66"/>
  <c r="CM24" i="66"/>
  <c r="CD24" i="66"/>
  <c r="BM24" i="66"/>
  <c r="AN24" i="66"/>
  <c r="BY24" i="66"/>
  <c r="AM24" i="66"/>
  <c r="CJ24" i="66"/>
  <c r="BV24" i="66"/>
  <c r="AW24" i="66"/>
  <c r="CP24" i="66"/>
  <c r="AS24" i="66"/>
  <c r="CU24" i="66"/>
  <c r="BN24" i="66"/>
  <c r="AO24" i="66"/>
  <c r="BZ24" i="66"/>
  <c r="CN24" i="66"/>
  <c r="AK24" i="66"/>
  <c r="BH24" i="66"/>
  <c r="AJ24" i="66"/>
  <c r="CI24" i="66"/>
  <c r="CE24" i="66"/>
  <c r="AX24" i="66"/>
  <c r="AG24" i="66"/>
  <c r="BR24" i="66"/>
  <c r="BX24" i="66"/>
  <c r="AZ24" i="66"/>
  <c r="AU24" i="66"/>
  <c r="BJ24" i="66"/>
  <c r="CK24" i="66"/>
  <c r="BW24" i="66"/>
  <c r="AP24" i="66"/>
  <c r="CR24" i="66"/>
  <c r="AR24" i="66"/>
  <c r="D24" i="66"/>
  <c r="T18" i="23" s="1"/>
  <c r="Y18" i="24" s="1"/>
  <c r="Q19" i="23"/>
  <c r="U19" i="24" s="1"/>
  <c r="A26" i="66"/>
  <c r="B25" i="66"/>
  <c r="BB23" i="66"/>
  <c r="BA23" i="66"/>
  <c r="N23" i="66" s="1"/>
  <c r="Y22" i="66" s="1"/>
  <c r="CI25" i="69"/>
  <c r="CQ25" i="69"/>
  <c r="CJ25" i="69"/>
  <c r="CG25" i="69"/>
  <c r="CK25" i="69"/>
  <c r="CL25" i="69"/>
  <c r="CM25" i="69"/>
  <c r="CK25" i="73"/>
  <c r="CL25" i="73"/>
  <c r="CM25" i="73"/>
  <c r="CQ25" i="73"/>
  <c r="CG25" i="73"/>
  <c r="CI25" i="73"/>
  <c r="CJ25" i="73"/>
  <c r="CG24" i="72"/>
  <c r="CQ24" i="72"/>
  <c r="CJ24" i="72"/>
  <c r="CI24" i="72"/>
  <c r="CK24" i="72"/>
  <c r="CL24" i="72"/>
  <c r="CM24" i="72"/>
  <c r="CM25" i="71"/>
  <c r="CQ25" i="71"/>
  <c r="CI25" i="71"/>
  <c r="CJ25" i="71"/>
  <c r="CK25" i="71"/>
  <c r="CL25" i="71"/>
  <c r="CG25" i="71"/>
  <c r="CI25" i="68"/>
  <c r="CK25" i="68"/>
  <c r="CL25" i="68"/>
  <c r="CM25" i="68"/>
  <c r="CQ25" i="68"/>
  <c r="CG25" i="68"/>
  <c r="CJ25" i="68"/>
  <c r="CI25" i="65"/>
  <c r="CQ25" i="65"/>
  <c r="CJ25" i="65"/>
  <c r="CK25" i="65"/>
  <c r="CL25" i="65"/>
  <c r="CI25" i="64"/>
  <c r="CG25" i="64"/>
  <c r="CJ25" i="64"/>
  <c r="CQ25" i="64"/>
  <c r="CK25" i="64"/>
  <c r="CL25" i="64"/>
  <c r="CM25" i="64"/>
  <c r="CI25" i="63"/>
  <c r="CJ25" i="63"/>
  <c r="CK25" i="63"/>
  <c r="CL25" i="63"/>
  <c r="CM25" i="63"/>
  <c r="CQ25" i="63"/>
  <c r="CG25" i="63"/>
  <c r="CX24" i="64"/>
  <c r="P24" i="64" s="1"/>
  <c r="CX24" i="68"/>
  <c r="P24" i="68" s="1"/>
  <c r="CX24" i="73"/>
  <c r="P24" i="73" s="1"/>
  <c r="Q23" i="68"/>
  <c r="CV25" i="73"/>
  <c r="CN25" i="73"/>
  <c r="CF25" i="73"/>
  <c r="BX25" i="73"/>
  <c r="BP25" i="73"/>
  <c r="BH25" i="73"/>
  <c r="AZ25" i="73"/>
  <c r="AR25" i="73"/>
  <c r="AJ25" i="73"/>
  <c r="CU25" i="73"/>
  <c r="CE25" i="73"/>
  <c r="BW25" i="73"/>
  <c r="BO25" i="73"/>
  <c r="BG25" i="73"/>
  <c r="AY25" i="73"/>
  <c r="AQ25" i="73"/>
  <c r="AI25" i="73"/>
  <c r="CT25" i="73"/>
  <c r="CD25" i="73"/>
  <c r="BV25" i="73"/>
  <c r="BN25" i="73"/>
  <c r="AX25" i="73"/>
  <c r="AP25" i="73"/>
  <c r="AH25" i="73"/>
  <c r="CS25" i="73"/>
  <c r="BU25" i="73"/>
  <c r="BM25" i="73"/>
  <c r="AW25" i="73"/>
  <c r="AO25" i="73"/>
  <c r="AG25" i="73"/>
  <c r="CR25" i="73"/>
  <c r="BT25" i="73"/>
  <c r="BL25" i="73"/>
  <c r="AV25" i="73"/>
  <c r="AN25" i="73"/>
  <c r="BS25" i="73"/>
  <c r="BK25" i="73"/>
  <c r="AU25" i="73"/>
  <c r="AM25" i="73"/>
  <c r="CP25" i="73"/>
  <c r="CH25" i="73"/>
  <c r="BZ25" i="73"/>
  <c r="BR25" i="73"/>
  <c r="BJ25" i="73"/>
  <c r="AT25" i="73"/>
  <c r="AL25" i="73"/>
  <c r="CW25" i="73"/>
  <c r="CO25" i="73"/>
  <c r="BY25" i="73"/>
  <c r="BQ25" i="73"/>
  <c r="BI25" i="73"/>
  <c r="AS25" i="73"/>
  <c r="AK25" i="73"/>
  <c r="D25" i="73"/>
  <c r="CA24" i="73"/>
  <c r="O24" i="73" s="1"/>
  <c r="Q23" i="73"/>
  <c r="B26" i="73"/>
  <c r="AT20" i="23" s="1"/>
  <c r="AA20" i="25" s="1"/>
  <c r="A27" i="73"/>
  <c r="AS21" i="23" s="1"/>
  <c r="Z21" i="25" s="1"/>
  <c r="BB24" i="73"/>
  <c r="BA24" i="73"/>
  <c r="N24" i="73" s="1"/>
  <c r="CT24" i="72"/>
  <c r="CD24" i="72"/>
  <c r="BV24" i="72"/>
  <c r="BN24" i="72"/>
  <c r="AX24" i="72"/>
  <c r="AP24" i="72"/>
  <c r="AH24" i="72"/>
  <c r="CS24" i="72"/>
  <c r="BU24" i="72"/>
  <c r="BM24" i="72"/>
  <c r="AW24" i="72"/>
  <c r="AO24" i="72"/>
  <c r="AG24" i="72"/>
  <c r="CR24" i="72"/>
  <c r="BT24" i="72"/>
  <c r="BL24" i="72"/>
  <c r="AV24" i="72"/>
  <c r="AN24" i="72"/>
  <c r="BS24" i="72"/>
  <c r="AU24" i="72"/>
  <c r="AM24" i="72"/>
  <c r="CO24" i="72"/>
  <c r="BY24" i="72"/>
  <c r="BQ24" i="72"/>
  <c r="BI24" i="72"/>
  <c r="AS24" i="72"/>
  <c r="AK24" i="72"/>
  <c r="D24" i="72"/>
  <c r="CV24" i="72"/>
  <c r="CN24" i="72"/>
  <c r="CF24" i="72"/>
  <c r="BX24" i="72"/>
  <c r="BP24" i="72"/>
  <c r="BH24" i="72"/>
  <c r="AZ24" i="72"/>
  <c r="AR24" i="72"/>
  <c r="AJ24" i="72"/>
  <c r="CU24" i="72"/>
  <c r="CE24" i="72"/>
  <c r="BW24" i="72"/>
  <c r="BO24" i="72"/>
  <c r="BG24" i="72"/>
  <c r="AY24" i="72"/>
  <c r="AQ24" i="72"/>
  <c r="AI24" i="72"/>
  <c r="AT24" i="72"/>
  <c r="BR24" i="72"/>
  <c r="AL24" i="72"/>
  <c r="BJ24" i="72"/>
  <c r="CP24" i="72"/>
  <c r="B25" i="72"/>
  <c r="AP19" i="23" s="1"/>
  <c r="V19" i="25" s="1"/>
  <c r="A26" i="72"/>
  <c r="AO20" i="23" s="1"/>
  <c r="U20" i="25" s="1"/>
  <c r="BB23" i="72"/>
  <c r="BA23" i="72"/>
  <c r="N23" i="72" s="1"/>
  <c r="CS25" i="71"/>
  <c r="BU25" i="71"/>
  <c r="BM25" i="71"/>
  <c r="AW25" i="71"/>
  <c r="AO25" i="71"/>
  <c r="AG25" i="71"/>
  <c r="BR25" i="71"/>
  <c r="AR25" i="71"/>
  <c r="AI25" i="71"/>
  <c r="BZ25" i="71"/>
  <c r="BQ25" i="71"/>
  <c r="BH25" i="71"/>
  <c r="AZ25" i="71"/>
  <c r="AQ25" i="71"/>
  <c r="AH25" i="71"/>
  <c r="BY25" i="71"/>
  <c r="BP25" i="71"/>
  <c r="BG25" i="71"/>
  <c r="AY25" i="71"/>
  <c r="AP25" i="71"/>
  <c r="CO25" i="71"/>
  <c r="BO25" i="71"/>
  <c r="AX25" i="71"/>
  <c r="AN25" i="71"/>
  <c r="CW25" i="71"/>
  <c r="CN25" i="71"/>
  <c r="CE25" i="71"/>
  <c r="BW25" i="71"/>
  <c r="BN25" i="71"/>
  <c r="AV25" i="71"/>
  <c r="AM25" i="71"/>
  <c r="D25" i="71"/>
  <c r="CV25" i="71"/>
  <c r="BV25" i="71"/>
  <c r="AJ25" i="71"/>
  <c r="BT25" i="71"/>
  <c r="CT25" i="71"/>
  <c r="BL25" i="71"/>
  <c r="AU25" i="71"/>
  <c r="BK25" i="71"/>
  <c r="AT25" i="71"/>
  <c r="CD25" i="71"/>
  <c r="BJ25" i="71"/>
  <c r="AS25" i="71"/>
  <c r="AL25" i="71"/>
  <c r="AK25" i="71"/>
  <c r="B26" i="71"/>
  <c r="AL20" i="23" s="1"/>
  <c r="Q20" i="25" s="1"/>
  <c r="A27" i="71"/>
  <c r="AK21" i="23" s="1"/>
  <c r="P21" i="25" s="1"/>
  <c r="BB24" i="71"/>
  <c r="BA24" i="71"/>
  <c r="N24" i="71" s="1"/>
  <c r="CT25" i="69"/>
  <c r="CD25" i="69"/>
  <c r="BV25" i="69"/>
  <c r="BN25" i="69"/>
  <c r="AX25" i="69"/>
  <c r="AP25" i="69"/>
  <c r="AH25" i="69"/>
  <c r="CS25" i="69"/>
  <c r="BM25" i="69"/>
  <c r="AW25" i="69"/>
  <c r="AO25" i="69"/>
  <c r="AG25" i="69"/>
  <c r="BT25" i="69"/>
  <c r="BL25" i="69"/>
  <c r="AV25" i="69"/>
  <c r="AN25" i="69"/>
  <c r="BS25" i="69"/>
  <c r="AU25" i="69"/>
  <c r="AM25" i="69"/>
  <c r="CP25" i="69"/>
  <c r="BZ25" i="69"/>
  <c r="CW25" i="69"/>
  <c r="CO25" i="69"/>
  <c r="BY25" i="69"/>
  <c r="BQ25" i="69"/>
  <c r="BI25" i="69"/>
  <c r="AS25" i="69"/>
  <c r="AK25" i="69"/>
  <c r="D25" i="69"/>
  <c r="CV25" i="69"/>
  <c r="CN25" i="69"/>
  <c r="CF25" i="69"/>
  <c r="BX25" i="69"/>
  <c r="BH25" i="69"/>
  <c r="AZ25" i="69"/>
  <c r="AR25" i="69"/>
  <c r="AJ25" i="69"/>
  <c r="BG25" i="69"/>
  <c r="AQ25" i="69"/>
  <c r="CE25" i="69"/>
  <c r="AL25" i="69"/>
  <c r="AI25" i="69"/>
  <c r="BW25" i="69"/>
  <c r="BR25" i="69"/>
  <c r="BO25" i="69"/>
  <c r="AY25" i="69"/>
  <c r="CU25" i="69"/>
  <c r="AT25" i="69"/>
  <c r="BJ25" i="69"/>
  <c r="B26" i="69"/>
  <c r="AD20" i="23" s="1"/>
  <c r="G20" i="25" s="1"/>
  <c r="A27" i="69"/>
  <c r="AC21" i="23" s="1"/>
  <c r="F21" i="25" s="1"/>
  <c r="BB24" i="69"/>
  <c r="BA24" i="69"/>
  <c r="N24" i="69" s="1"/>
  <c r="BB24" i="68"/>
  <c r="BA24" i="68"/>
  <c r="N24" i="68" s="1"/>
  <c r="CA24" i="68"/>
  <c r="O24" i="68" s="1"/>
  <c r="CU25" i="68"/>
  <c r="CE25" i="68"/>
  <c r="BW25" i="68"/>
  <c r="BO25" i="68"/>
  <c r="BG25" i="68"/>
  <c r="AY25" i="68"/>
  <c r="AQ25" i="68"/>
  <c r="AI25" i="68"/>
  <c r="CR25" i="68"/>
  <c r="BZ25" i="68"/>
  <c r="BQ25" i="68"/>
  <c r="BH25" i="68"/>
  <c r="AX25" i="68"/>
  <c r="AO25" i="68"/>
  <c r="CH25" i="68"/>
  <c r="BY25" i="68"/>
  <c r="BP25" i="68"/>
  <c r="AW25" i="68"/>
  <c r="AN25" i="68"/>
  <c r="CP25" i="68"/>
  <c r="BX25" i="68"/>
  <c r="BN25" i="68"/>
  <c r="AV25" i="68"/>
  <c r="AM25" i="68"/>
  <c r="CO25" i="68"/>
  <c r="CF25" i="68"/>
  <c r="BV25" i="68"/>
  <c r="BM25" i="68"/>
  <c r="AU25" i="68"/>
  <c r="AL25" i="68"/>
  <c r="D25" i="68"/>
  <c r="AB19" i="23" s="1"/>
  <c r="E19" i="25" s="1"/>
  <c r="CW25" i="68"/>
  <c r="CN25" i="68"/>
  <c r="CD25" i="68"/>
  <c r="BU25" i="68"/>
  <c r="BL25" i="68"/>
  <c r="AT25" i="68"/>
  <c r="AK25" i="68"/>
  <c r="CV25" i="68"/>
  <c r="BT25" i="68"/>
  <c r="BK25" i="68"/>
  <c r="AS25" i="68"/>
  <c r="AJ25" i="68"/>
  <c r="CT25" i="68"/>
  <c r="BS25" i="68"/>
  <c r="BJ25" i="68"/>
  <c r="AR25" i="68"/>
  <c r="AH25" i="68"/>
  <c r="CS25" i="68"/>
  <c r="BR25" i="68"/>
  <c r="BI25" i="68"/>
  <c r="AZ25" i="68"/>
  <c r="AP25" i="68"/>
  <c r="AG25" i="68"/>
  <c r="A27" i="68"/>
  <c r="Y21" i="23" s="1"/>
  <c r="A21" i="25" s="1"/>
  <c r="B26" i="68"/>
  <c r="Z20" i="23" s="1"/>
  <c r="B20" i="25" s="1"/>
  <c r="BB24" i="65"/>
  <c r="BA24" i="65"/>
  <c r="N24" i="65" s="1"/>
  <c r="Y24" i="65" s="1"/>
  <c r="Y39" i="65" s="1"/>
  <c r="CS25" i="65"/>
  <c r="BU25" i="65"/>
  <c r="BM25" i="65"/>
  <c r="AW25" i="65"/>
  <c r="AO25" i="65"/>
  <c r="AG25" i="65"/>
  <c r="CR25" i="65"/>
  <c r="BT25" i="65"/>
  <c r="BL25" i="65"/>
  <c r="AV25" i="65"/>
  <c r="AN25" i="65"/>
  <c r="BY25" i="65"/>
  <c r="AU25" i="65"/>
  <c r="AK25" i="65"/>
  <c r="CP25" i="65"/>
  <c r="CF25" i="65"/>
  <c r="BX25" i="65"/>
  <c r="BN25" i="65"/>
  <c r="AT25" i="65"/>
  <c r="AJ25" i="65"/>
  <c r="CO25" i="65"/>
  <c r="CE25" i="65"/>
  <c r="BW25" i="65"/>
  <c r="BK25" i="65"/>
  <c r="AS25" i="65"/>
  <c r="AI25" i="65"/>
  <c r="CN25" i="65"/>
  <c r="CD25" i="65"/>
  <c r="BV25" i="65"/>
  <c r="AR25" i="65"/>
  <c r="AH25" i="65"/>
  <c r="CW25" i="65"/>
  <c r="BS25" i="65"/>
  <c r="BI25" i="65"/>
  <c r="AQ25" i="65"/>
  <c r="CV25" i="65"/>
  <c r="BR25" i="65"/>
  <c r="BH25" i="65"/>
  <c r="AZ25" i="65"/>
  <c r="AP25" i="65"/>
  <c r="D25" i="65"/>
  <c r="P19" i="23" s="1"/>
  <c r="T19" i="24" s="1"/>
  <c r="CU25" i="65"/>
  <c r="BQ25" i="65"/>
  <c r="BG25" i="65"/>
  <c r="AY25" i="65"/>
  <c r="AM25" i="65"/>
  <c r="CT25" i="65"/>
  <c r="BZ25" i="65"/>
  <c r="BP25" i="65"/>
  <c r="AX25" i="65"/>
  <c r="AL25" i="65"/>
  <c r="B26" i="65"/>
  <c r="N20" i="23" s="1"/>
  <c r="Q20" i="24" s="1"/>
  <c r="A27" i="65"/>
  <c r="M21" i="23" s="1"/>
  <c r="P21" i="24" s="1"/>
  <c r="CS25" i="64"/>
  <c r="BU25" i="64"/>
  <c r="BM25" i="64"/>
  <c r="AW25" i="64"/>
  <c r="AO25" i="64"/>
  <c r="AG25" i="64"/>
  <c r="CR25" i="64"/>
  <c r="BT25" i="64"/>
  <c r="BL25" i="64"/>
  <c r="AV25" i="64"/>
  <c r="AN25" i="64"/>
  <c r="BS25" i="64"/>
  <c r="BK25" i="64"/>
  <c r="AU25" i="64"/>
  <c r="AM25" i="64"/>
  <c r="CP25" i="64"/>
  <c r="CH25" i="64"/>
  <c r="BZ25" i="64"/>
  <c r="BR25" i="64"/>
  <c r="BJ25" i="64"/>
  <c r="AT25" i="64"/>
  <c r="AL25" i="64"/>
  <c r="CW25" i="64"/>
  <c r="CO25" i="64"/>
  <c r="BY25" i="64"/>
  <c r="BQ25" i="64"/>
  <c r="BI25" i="64"/>
  <c r="AS25" i="64"/>
  <c r="AK25" i="64"/>
  <c r="BW25" i="64"/>
  <c r="AP25" i="64"/>
  <c r="BV25" i="64"/>
  <c r="AJ25" i="64"/>
  <c r="CF25" i="64"/>
  <c r="BP25" i="64"/>
  <c r="AI25" i="64"/>
  <c r="CE25" i="64"/>
  <c r="BO25" i="64"/>
  <c r="AZ25" i="64"/>
  <c r="AH25" i="64"/>
  <c r="D25" i="64"/>
  <c r="L19" i="23" s="1"/>
  <c r="O19" i="24" s="1"/>
  <c r="CV25" i="64"/>
  <c r="CD25" i="64"/>
  <c r="BN25" i="64"/>
  <c r="AY25" i="64"/>
  <c r="CU25" i="64"/>
  <c r="BH25" i="64"/>
  <c r="AX25" i="64"/>
  <c r="CT25" i="64"/>
  <c r="BG25" i="64"/>
  <c r="AR25" i="64"/>
  <c r="CN25" i="64"/>
  <c r="BX25" i="64"/>
  <c r="AQ25" i="64"/>
  <c r="B26" i="64"/>
  <c r="J20" i="23" s="1"/>
  <c r="L20" i="24" s="1"/>
  <c r="A27" i="64"/>
  <c r="I21" i="23" s="1"/>
  <c r="K21" i="24" s="1"/>
  <c r="Q23" i="64"/>
  <c r="BB24" i="64"/>
  <c r="BA24" i="64"/>
  <c r="N24" i="64" s="1"/>
  <c r="CA24" i="64"/>
  <c r="O24" i="64" s="1"/>
  <c r="CR25" i="63"/>
  <c r="BT25" i="63"/>
  <c r="BL25" i="63"/>
  <c r="AV25" i="63"/>
  <c r="AN25" i="63"/>
  <c r="BS25" i="63"/>
  <c r="BK25" i="63"/>
  <c r="AU25" i="63"/>
  <c r="AM25" i="63"/>
  <c r="CN25" i="63"/>
  <c r="CD25" i="63"/>
  <c r="BU25" i="63"/>
  <c r="BI25" i="63"/>
  <c r="AQ25" i="63"/>
  <c r="AG25" i="63"/>
  <c r="CW25" i="63"/>
  <c r="BR25" i="63"/>
  <c r="BH25" i="63"/>
  <c r="AZ25" i="63"/>
  <c r="AP25" i="63"/>
  <c r="CV25" i="63"/>
  <c r="BQ25" i="63"/>
  <c r="BG25" i="63"/>
  <c r="AY25" i="63"/>
  <c r="AO25" i="63"/>
  <c r="D25" i="63"/>
  <c r="H19" i="23" s="1"/>
  <c r="J19" i="24" s="1"/>
  <c r="CU25" i="63"/>
  <c r="BZ25" i="63"/>
  <c r="BP25" i="63"/>
  <c r="AX25" i="63"/>
  <c r="AL25" i="63"/>
  <c r="CT25" i="63"/>
  <c r="CH25" i="63"/>
  <c r="BY25" i="63"/>
  <c r="BO25" i="63"/>
  <c r="AW25" i="63"/>
  <c r="AK25" i="63"/>
  <c r="CS25" i="63"/>
  <c r="BX25" i="63"/>
  <c r="BN25" i="63"/>
  <c r="AT25" i="63"/>
  <c r="AJ25" i="63"/>
  <c r="CP25" i="63"/>
  <c r="CF25" i="63"/>
  <c r="BW25" i="63"/>
  <c r="BM25" i="63"/>
  <c r="AS25" i="63"/>
  <c r="AI25" i="63"/>
  <c r="CO25" i="63"/>
  <c r="CE25" i="63"/>
  <c r="BV25" i="63"/>
  <c r="BJ25" i="63"/>
  <c r="AR25" i="63"/>
  <c r="AH25" i="63"/>
  <c r="A27" i="63"/>
  <c r="E21" i="23" s="1"/>
  <c r="F21" i="24" s="1"/>
  <c r="B26" i="63"/>
  <c r="F20" i="23" s="1"/>
  <c r="G20" i="24" s="1"/>
  <c r="BB24" i="63"/>
  <c r="BA24" i="63"/>
  <c r="N24" i="63" s="1"/>
  <c r="Y24" i="63" s="1"/>
  <c r="CA24" i="70" l="1"/>
  <c r="O24" i="70" s="1"/>
  <c r="BA24" i="70"/>
  <c r="N24" i="70" s="1"/>
  <c r="Y24" i="70" s="1"/>
  <c r="BB24" i="70"/>
  <c r="AH19" i="23"/>
  <c r="L19" i="25" s="1"/>
  <c r="CM25" i="70"/>
  <c r="AI25" i="70"/>
  <c r="AO25" i="70"/>
  <c r="AW25" i="70"/>
  <c r="BP25" i="70"/>
  <c r="CH25" i="70"/>
  <c r="CG25" i="70"/>
  <c r="CT25" i="70"/>
  <c r="CO25" i="70"/>
  <c r="AM25" i="70"/>
  <c r="AU25" i="70"/>
  <c r="BX25" i="70"/>
  <c r="CQ25" i="70"/>
  <c r="CU25" i="70"/>
  <c r="BN25" i="70"/>
  <c r="BS25" i="70"/>
  <c r="D25" i="70"/>
  <c r="AK25" i="70"/>
  <c r="BL25" i="70"/>
  <c r="CJ25" i="70"/>
  <c r="CE25" i="70"/>
  <c r="AX25" i="70"/>
  <c r="BI25" i="70"/>
  <c r="CW25" i="70"/>
  <c r="BY25" i="70"/>
  <c r="AS25" i="70"/>
  <c r="BW25" i="70"/>
  <c r="AP25" i="70"/>
  <c r="AZ25" i="70"/>
  <c r="AV25" i="70"/>
  <c r="BM25" i="70"/>
  <c r="AG25" i="70"/>
  <c r="CI25" i="70"/>
  <c r="BO25" i="70"/>
  <c r="AH25" i="70"/>
  <c r="AN25" i="70"/>
  <c r="AL25" i="70"/>
  <c r="AT25" i="70"/>
  <c r="BU25" i="70"/>
  <c r="CK25" i="70"/>
  <c r="AY25" i="70"/>
  <c r="BT25" i="70"/>
  <c r="BR25" i="70"/>
  <c r="CV25" i="70"/>
  <c r="AJ25" i="70"/>
  <c r="BK25" i="70"/>
  <c r="AR25" i="70"/>
  <c r="CL25" i="70"/>
  <c r="AQ25" i="70"/>
  <c r="BJ25" i="70"/>
  <c r="BH25" i="70"/>
  <c r="BZ25" i="70"/>
  <c r="CR25" i="70"/>
  <c r="AG20" i="23"/>
  <c r="K20" i="25" s="1"/>
  <c r="A27" i="70"/>
  <c r="B26" i="70"/>
  <c r="O18" i="25"/>
  <c r="AJ18" i="23"/>
  <c r="U20" i="23"/>
  <c r="Z20" i="24" s="1"/>
  <c r="B26" i="67"/>
  <c r="A27" i="67"/>
  <c r="AN19" i="23"/>
  <c r="T19" i="25"/>
  <c r="V19" i="23"/>
  <c r="AA19" i="24" s="1"/>
  <c r="CL25" i="67"/>
  <c r="AM25" i="67"/>
  <c r="BY25" i="67"/>
  <c r="BX25" i="67"/>
  <c r="BG25" i="67"/>
  <c r="AX25" i="67"/>
  <c r="CR25" i="67"/>
  <c r="CM25" i="67"/>
  <c r="CP25" i="67"/>
  <c r="BQ25" i="67"/>
  <c r="BP25" i="67"/>
  <c r="AY25" i="67"/>
  <c r="AP25" i="67"/>
  <c r="BT25" i="67"/>
  <c r="BL25" i="67"/>
  <c r="BJ25" i="67"/>
  <c r="BU25" i="67"/>
  <c r="CH25" i="67"/>
  <c r="BI25" i="67"/>
  <c r="AZ25" i="67"/>
  <c r="AQ25" i="67"/>
  <c r="AH25" i="67"/>
  <c r="AK25" i="67"/>
  <c r="BZ25" i="67"/>
  <c r="AS25" i="67"/>
  <c r="AR25" i="67"/>
  <c r="AI25" i="67"/>
  <c r="CS25" i="67"/>
  <c r="AV25" i="67"/>
  <c r="CT25" i="67"/>
  <c r="CI25" i="67"/>
  <c r="AJ25" i="67"/>
  <c r="CQ25" i="67"/>
  <c r="BS25" i="67"/>
  <c r="AT25" i="67"/>
  <c r="D25" i="67"/>
  <c r="X19" i="23" s="1"/>
  <c r="AD19" i="24" s="1"/>
  <c r="CU25" i="67"/>
  <c r="CD25" i="67"/>
  <c r="AW25" i="67"/>
  <c r="AG25" i="67"/>
  <c r="CG25" i="67"/>
  <c r="BK25" i="67"/>
  <c r="AL25" i="67"/>
  <c r="CV25" i="67"/>
  <c r="BW25" i="67"/>
  <c r="BV25" i="67"/>
  <c r="AO25" i="67"/>
  <c r="BO25" i="67"/>
  <c r="AN25" i="67"/>
  <c r="CJ25" i="67"/>
  <c r="AU25" i="67"/>
  <c r="CW25" i="67"/>
  <c r="CN25" i="67"/>
  <c r="BN25" i="67"/>
  <c r="BB24" i="67"/>
  <c r="BA24" i="67"/>
  <c r="N24" i="67" s="1"/>
  <c r="Y23" i="67" s="1"/>
  <c r="Y18" i="25"/>
  <c r="AR18" i="23"/>
  <c r="J19" i="25"/>
  <c r="AF19" i="23"/>
  <c r="AV19" i="23"/>
  <c r="AD19" i="25"/>
  <c r="BB24" i="66"/>
  <c r="BA24" i="66"/>
  <c r="N24" i="66" s="1"/>
  <c r="R19" i="23"/>
  <c r="V19" i="24" s="1"/>
  <c r="CL25" i="66"/>
  <c r="AT25" i="66"/>
  <c r="AK25" i="66"/>
  <c r="AZ25" i="66"/>
  <c r="AY25" i="66"/>
  <c r="AP25" i="66"/>
  <c r="CR25" i="66"/>
  <c r="BK25" i="66"/>
  <c r="BU25" i="66"/>
  <c r="CQ25" i="66"/>
  <c r="AL25" i="66"/>
  <c r="D25" i="66"/>
  <c r="T19" i="23" s="1"/>
  <c r="Y19" i="24" s="1"/>
  <c r="AR25" i="66"/>
  <c r="AQ25" i="66"/>
  <c r="AH25" i="66"/>
  <c r="BT25" i="66"/>
  <c r="CT25" i="66"/>
  <c r="CW25" i="66"/>
  <c r="CV25" i="66"/>
  <c r="AJ25" i="66"/>
  <c r="AI25" i="66"/>
  <c r="CS25" i="66"/>
  <c r="BL25" i="66"/>
  <c r="CU25" i="66"/>
  <c r="CI25" i="66"/>
  <c r="CP25" i="66"/>
  <c r="CO25" i="66"/>
  <c r="CN25" i="66"/>
  <c r="AV25" i="66"/>
  <c r="CG25" i="66"/>
  <c r="CH25" i="66"/>
  <c r="BY25" i="66"/>
  <c r="CF25" i="66"/>
  <c r="CE25" i="66"/>
  <c r="CM25" i="66"/>
  <c r="BZ25" i="66"/>
  <c r="BQ25" i="66"/>
  <c r="BX25" i="66"/>
  <c r="BW25" i="66"/>
  <c r="BV25" i="66"/>
  <c r="AW25" i="66"/>
  <c r="AU25" i="66"/>
  <c r="CD25" i="66"/>
  <c r="CJ25" i="66"/>
  <c r="BR25" i="66"/>
  <c r="BI25" i="66"/>
  <c r="BP25" i="66"/>
  <c r="BO25" i="66"/>
  <c r="BN25" i="66"/>
  <c r="AO25" i="66"/>
  <c r="AM25" i="66"/>
  <c r="BM25" i="66"/>
  <c r="CK25" i="66"/>
  <c r="BJ25" i="66"/>
  <c r="AS25" i="66"/>
  <c r="BH25" i="66"/>
  <c r="BG25" i="66"/>
  <c r="AX25" i="66"/>
  <c r="AG25" i="66"/>
  <c r="BS25" i="66"/>
  <c r="AN25" i="66"/>
  <c r="Q20" i="23"/>
  <c r="U20" i="24" s="1"/>
  <c r="A27" i="66"/>
  <c r="B26" i="66"/>
  <c r="CI26" i="69"/>
  <c r="CJ26" i="69"/>
  <c r="CQ26" i="69"/>
  <c r="CK26" i="69"/>
  <c r="CL26" i="69"/>
  <c r="CM26" i="69"/>
  <c r="CG26" i="69"/>
  <c r="CJ26" i="71"/>
  <c r="CQ26" i="71"/>
  <c r="CK26" i="71"/>
  <c r="CL26" i="71"/>
  <c r="CM26" i="71"/>
  <c r="CI26" i="71"/>
  <c r="CG26" i="71"/>
  <c r="CI26" i="68"/>
  <c r="CJ26" i="68"/>
  <c r="CQ26" i="68"/>
  <c r="CK26" i="68"/>
  <c r="CL26" i="68"/>
  <c r="CM26" i="68"/>
  <c r="CG26" i="68"/>
  <c r="CI26" i="73"/>
  <c r="CJ26" i="73"/>
  <c r="CQ26" i="73"/>
  <c r="CK26" i="73"/>
  <c r="CL26" i="73"/>
  <c r="CM26" i="73"/>
  <c r="CG26" i="73"/>
  <c r="CJ25" i="72"/>
  <c r="CK25" i="72"/>
  <c r="CL25" i="72"/>
  <c r="CM25" i="72"/>
  <c r="CG25" i="72"/>
  <c r="CQ25" i="72"/>
  <c r="CI25" i="72"/>
  <c r="CI26" i="65"/>
  <c r="CJ26" i="65"/>
  <c r="CG26" i="65"/>
  <c r="CK26" i="65"/>
  <c r="CQ26" i="65"/>
  <c r="CL26" i="65"/>
  <c r="CM26" i="65"/>
  <c r="CI26" i="64"/>
  <c r="CL26" i="64"/>
  <c r="CM26" i="64"/>
  <c r="CG26" i="64"/>
  <c r="CQ26" i="64"/>
  <c r="CJ26" i="64"/>
  <c r="CK26" i="64"/>
  <c r="CI26" i="63"/>
  <c r="CJ26" i="63"/>
  <c r="CK26" i="63"/>
  <c r="CL26" i="63"/>
  <c r="CM26" i="63"/>
  <c r="CQ26" i="63"/>
  <c r="CG26" i="63"/>
  <c r="CX25" i="73"/>
  <c r="P25" i="73" s="1"/>
  <c r="CX25" i="68"/>
  <c r="P25" i="68" s="1"/>
  <c r="CX25" i="64"/>
  <c r="P25" i="64" s="1"/>
  <c r="Q24" i="64"/>
  <c r="CA25" i="64"/>
  <c r="O25" i="64" s="1"/>
  <c r="A28" i="73"/>
  <c r="AS22" i="23" s="1"/>
  <c r="Z22" i="25" s="1"/>
  <c r="B27" i="73"/>
  <c r="AT21" i="23" s="1"/>
  <c r="AA21" i="25" s="1"/>
  <c r="CA25" i="73"/>
  <c r="O25" i="73" s="1"/>
  <c r="BS26" i="73"/>
  <c r="BK26" i="73"/>
  <c r="AU26" i="73"/>
  <c r="AM26" i="73"/>
  <c r="CP26" i="73"/>
  <c r="CH26" i="73"/>
  <c r="BZ26" i="73"/>
  <c r="BR26" i="73"/>
  <c r="BJ26" i="73"/>
  <c r="AT26" i="73"/>
  <c r="AL26" i="73"/>
  <c r="CW26" i="73"/>
  <c r="CO26" i="73"/>
  <c r="BY26" i="73"/>
  <c r="BQ26" i="73"/>
  <c r="BI26" i="73"/>
  <c r="AS26" i="73"/>
  <c r="AK26" i="73"/>
  <c r="D26" i="73"/>
  <c r="CV26" i="73"/>
  <c r="CN26" i="73"/>
  <c r="CF26" i="73"/>
  <c r="BX26" i="73"/>
  <c r="BP26" i="73"/>
  <c r="BH26" i="73"/>
  <c r="AZ26" i="73"/>
  <c r="AR26" i="73"/>
  <c r="AJ26" i="73"/>
  <c r="CU26" i="73"/>
  <c r="CE26" i="73"/>
  <c r="BW26" i="73"/>
  <c r="BO26" i="73"/>
  <c r="BG26" i="73"/>
  <c r="AY26" i="73"/>
  <c r="AQ26" i="73"/>
  <c r="AI26" i="73"/>
  <c r="CT26" i="73"/>
  <c r="CD26" i="73"/>
  <c r="BV26" i="73"/>
  <c r="BN26" i="73"/>
  <c r="AX26" i="73"/>
  <c r="AP26" i="73"/>
  <c r="AH26" i="73"/>
  <c r="CS26" i="73"/>
  <c r="BU26" i="73"/>
  <c r="BM26" i="73"/>
  <c r="AW26" i="73"/>
  <c r="AO26" i="73"/>
  <c r="AG26" i="73"/>
  <c r="CR26" i="73"/>
  <c r="BT26" i="73"/>
  <c r="BL26" i="73"/>
  <c r="AV26" i="73"/>
  <c r="AN26" i="73"/>
  <c r="Q24" i="73"/>
  <c r="BB25" i="73"/>
  <c r="BA25" i="73"/>
  <c r="N25" i="73" s="1"/>
  <c r="BB24" i="72"/>
  <c r="BA24" i="72"/>
  <c r="N24" i="72" s="1"/>
  <c r="A27" i="72"/>
  <c r="AO21" i="23" s="1"/>
  <c r="U21" i="25" s="1"/>
  <c r="B26" i="72"/>
  <c r="AP20" i="23" s="1"/>
  <c r="V20" i="25" s="1"/>
  <c r="CW25" i="72"/>
  <c r="CO25" i="72"/>
  <c r="BY25" i="72"/>
  <c r="BQ25" i="72"/>
  <c r="BI25" i="72"/>
  <c r="AS25" i="72"/>
  <c r="AK25" i="72"/>
  <c r="D25" i="72"/>
  <c r="CV25" i="72"/>
  <c r="CN25" i="72"/>
  <c r="CF25" i="72"/>
  <c r="BX25" i="72"/>
  <c r="BP25" i="72"/>
  <c r="BH25" i="72"/>
  <c r="AZ25" i="72"/>
  <c r="AR25" i="72"/>
  <c r="AJ25" i="72"/>
  <c r="CU25" i="72"/>
  <c r="CE25" i="72"/>
  <c r="BW25" i="72"/>
  <c r="BO25" i="72"/>
  <c r="BG25" i="72"/>
  <c r="AY25" i="72"/>
  <c r="AQ25" i="72"/>
  <c r="AI25" i="72"/>
  <c r="CT25" i="72"/>
  <c r="BV25" i="72"/>
  <c r="BN25" i="72"/>
  <c r="AX25" i="72"/>
  <c r="AP25" i="72"/>
  <c r="AH25" i="72"/>
  <c r="CR25" i="72"/>
  <c r="BT25" i="72"/>
  <c r="BL25" i="72"/>
  <c r="AV25" i="72"/>
  <c r="AN25" i="72"/>
  <c r="BS25" i="72"/>
  <c r="BK25" i="72"/>
  <c r="AU25" i="72"/>
  <c r="AM25" i="72"/>
  <c r="CP25" i="72"/>
  <c r="CH25" i="72"/>
  <c r="BZ25" i="72"/>
  <c r="BR25" i="72"/>
  <c r="BJ25" i="72"/>
  <c r="AT25" i="72"/>
  <c r="AL25" i="72"/>
  <c r="BM25" i="72"/>
  <c r="AW25" i="72"/>
  <c r="AO25" i="72"/>
  <c r="BU25" i="72"/>
  <c r="AG25" i="72"/>
  <c r="BB25" i="71"/>
  <c r="BA25" i="71"/>
  <c r="N25" i="71" s="1"/>
  <c r="A28" i="71"/>
  <c r="AK22" i="23" s="1"/>
  <c r="P22" i="25" s="1"/>
  <c r="B27" i="71"/>
  <c r="AL21" i="23" s="1"/>
  <c r="Q21" i="25" s="1"/>
  <c r="CP26" i="71"/>
  <c r="CW26" i="71"/>
  <c r="CO26" i="71"/>
  <c r="BY26" i="71"/>
  <c r="BQ26" i="71"/>
  <c r="CV26" i="71"/>
  <c r="CN26" i="71"/>
  <c r="CF26" i="71"/>
  <c r="BX26" i="71"/>
  <c r="BP26" i="71"/>
  <c r="BH26" i="71"/>
  <c r="AZ26" i="71"/>
  <c r="AR26" i="71"/>
  <c r="AJ26" i="71"/>
  <c r="CT26" i="71"/>
  <c r="BW26" i="71"/>
  <c r="BM26" i="71"/>
  <c r="AU26" i="71"/>
  <c r="AL26" i="71"/>
  <c r="D26" i="71"/>
  <c r="CS26" i="71"/>
  <c r="CH26" i="71"/>
  <c r="BV26" i="71"/>
  <c r="BL26" i="71"/>
  <c r="AT26" i="71"/>
  <c r="AK26" i="71"/>
  <c r="CR26" i="71"/>
  <c r="CE26" i="71"/>
  <c r="BU26" i="71"/>
  <c r="BK26" i="71"/>
  <c r="AS26" i="71"/>
  <c r="AI26" i="71"/>
  <c r="CD26" i="71"/>
  <c r="BT26" i="71"/>
  <c r="BJ26" i="71"/>
  <c r="AQ26" i="71"/>
  <c r="AH26" i="71"/>
  <c r="BS26" i="71"/>
  <c r="BI26" i="71"/>
  <c r="AY26" i="71"/>
  <c r="AP26" i="71"/>
  <c r="AG26" i="71"/>
  <c r="BR26" i="71"/>
  <c r="BG26" i="71"/>
  <c r="AX26" i="71"/>
  <c r="AO26" i="71"/>
  <c r="AW26" i="71"/>
  <c r="BZ26" i="71"/>
  <c r="AV26" i="71"/>
  <c r="BO26" i="71"/>
  <c r="AN26" i="71"/>
  <c r="CU26" i="71"/>
  <c r="BN26" i="71"/>
  <c r="AM26" i="71"/>
  <c r="BB25" i="69"/>
  <c r="BA25" i="69"/>
  <c r="N25" i="69" s="1"/>
  <c r="B27" i="69"/>
  <c r="AD21" i="23" s="1"/>
  <c r="G21" i="25" s="1"/>
  <c r="A28" i="69"/>
  <c r="AC22" i="23" s="1"/>
  <c r="F22" i="25" s="1"/>
  <c r="CW26" i="69"/>
  <c r="CO26" i="69"/>
  <c r="BY26" i="69"/>
  <c r="BQ26" i="69"/>
  <c r="BI26" i="69"/>
  <c r="AS26" i="69"/>
  <c r="AK26" i="69"/>
  <c r="D26" i="69"/>
  <c r="CV26" i="69"/>
  <c r="CF26" i="69"/>
  <c r="BX26" i="69"/>
  <c r="BP26" i="69"/>
  <c r="BH26" i="69"/>
  <c r="AZ26" i="69"/>
  <c r="AR26" i="69"/>
  <c r="AJ26" i="69"/>
  <c r="CU26" i="69"/>
  <c r="CE26" i="69"/>
  <c r="BW26" i="69"/>
  <c r="BO26" i="69"/>
  <c r="BG26" i="69"/>
  <c r="AY26" i="69"/>
  <c r="AQ26" i="69"/>
  <c r="AI26" i="69"/>
  <c r="CT26" i="69"/>
  <c r="BV26" i="69"/>
  <c r="BN26" i="69"/>
  <c r="AX26" i="69"/>
  <c r="AP26" i="69"/>
  <c r="AH26" i="69"/>
  <c r="CS26" i="69"/>
  <c r="BU26" i="69"/>
  <c r="BM26" i="69"/>
  <c r="AW26" i="69"/>
  <c r="AO26" i="69"/>
  <c r="AG26" i="69"/>
  <c r="CR26" i="69"/>
  <c r="BT26" i="69"/>
  <c r="BL26" i="69"/>
  <c r="AV26" i="69"/>
  <c r="AN26" i="69"/>
  <c r="BS26" i="69"/>
  <c r="BK26" i="69"/>
  <c r="AU26" i="69"/>
  <c r="AM26" i="69"/>
  <c r="CP26" i="69"/>
  <c r="CH26" i="69"/>
  <c r="BZ26" i="69"/>
  <c r="AT26" i="69"/>
  <c r="BR26" i="69"/>
  <c r="AL26" i="69"/>
  <c r="BJ26" i="69"/>
  <c r="BB25" i="68"/>
  <c r="BA25" i="68"/>
  <c r="N25" i="68" s="1"/>
  <c r="CR26" i="68"/>
  <c r="BT26" i="68"/>
  <c r="BL26" i="68"/>
  <c r="AV26" i="68"/>
  <c r="AN26" i="68"/>
  <c r="BS26" i="68"/>
  <c r="CP26" i="68"/>
  <c r="CH26" i="68"/>
  <c r="BZ26" i="68"/>
  <c r="BR26" i="68"/>
  <c r="BJ26" i="68"/>
  <c r="AT26" i="68"/>
  <c r="AL26" i="68"/>
  <c r="CW26" i="68"/>
  <c r="CO26" i="68"/>
  <c r="BY26" i="68"/>
  <c r="BQ26" i="68"/>
  <c r="BI26" i="68"/>
  <c r="AS26" i="68"/>
  <c r="AK26" i="68"/>
  <c r="CN26" i="68"/>
  <c r="BM26" i="68"/>
  <c r="AZ26" i="68"/>
  <c r="AO26" i="68"/>
  <c r="BX26" i="68"/>
  <c r="BK26" i="68"/>
  <c r="AY26" i="68"/>
  <c r="AM26" i="68"/>
  <c r="BW26" i="68"/>
  <c r="BH26" i="68"/>
  <c r="AX26" i="68"/>
  <c r="AJ26" i="68"/>
  <c r="BV26" i="68"/>
  <c r="BG26" i="68"/>
  <c r="AW26" i="68"/>
  <c r="AI26" i="68"/>
  <c r="CV26" i="68"/>
  <c r="CF26" i="68"/>
  <c r="BU26" i="68"/>
  <c r="AU26" i="68"/>
  <c r="AH26" i="68"/>
  <c r="CU26" i="68"/>
  <c r="CE26" i="68"/>
  <c r="BP26" i="68"/>
  <c r="AR26" i="68"/>
  <c r="AG26" i="68"/>
  <c r="CT26" i="68"/>
  <c r="CD26" i="68"/>
  <c r="BO26" i="68"/>
  <c r="AQ26" i="68"/>
  <c r="CS26" i="68"/>
  <c r="BN26" i="68"/>
  <c r="AP26" i="68"/>
  <c r="D26" i="68"/>
  <c r="AB20" i="23" s="1"/>
  <c r="E20" i="25" s="1"/>
  <c r="Q24" i="68"/>
  <c r="A28" i="68"/>
  <c r="Y22" i="23" s="1"/>
  <c r="A22" i="25" s="1"/>
  <c r="B27" i="68"/>
  <c r="Z21" i="23" s="1"/>
  <c r="B21" i="25" s="1"/>
  <c r="CA25" i="68"/>
  <c r="O25" i="68" s="1"/>
  <c r="CV26" i="65"/>
  <c r="CN26" i="65"/>
  <c r="CF26" i="65"/>
  <c r="BX26" i="65"/>
  <c r="BH26" i="65"/>
  <c r="AZ26" i="65"/>
  <c r="AR26" i="65"/>
  <c r="AJ26" i="65"/>
  <c r="CU26" i="65"/>
  <c r="CE26" i="65"/>
  <c r="BW26" i="65"/>
  <c r="BO26" i="65"/>
  <c r="BG26" i="65"/>
  <c r="AY26" i="65"/>
  <c r="AQ26" i="65"/>
  <c r="AI26" i="65"/>
  <c r="CP26" i="65"/>
  <c r="CD26" i="65"/>
  <c r="BT26" i="65"/>
  <c r="BJ26" i="65"/>
  <c r="AX26" i="65"/>
  <c r="AN26" i="65"/>
  <c r="CO26" i="65"/>
  <c r="BS26" i="65"/>
  <c r="BI26" i="65"/>
  <c r="AW26" i="65"/>
  <c r="AM26" i="65"/>
  <c r="D26" i="65"/>
  <c r="P20" i="23" s="1"/>
  <c r="T20" i="24" s="1"/>
  <c r="BR26" i="65"/>
  <c r="AV26" i="65"/>
  <c r="AL26" i="65"/>
  <c r="CW26" i="65"/>
  <c r="BQ26" i="65"/>
  <c r="AU26" i="65"/>
  <c r="AK26" i="65"/>
  <c r="CT26" i="65"/>
  <c r="BZ26" i="65"/>
  <c r="BN26" i="65"/>
  <c r="AT26" i="65"/>
  <c r="AH26" i="65"/>
  <c r="CS26" i="65"/>
  <c r="BY26" i="65"/>
  <c r="BM26" i="65"/>
  <c r="AS26" i="65"/>
  <c r="AG26" i="65"/>
  <c r="CR26" i="65"/>
  <c r="BV26" i="65"/>
  <c r="BL26" i="65"/>
  <c r="AP26" i="65"/>
  <c r="BU26" i="65"/>
  <c r="AO26" i="65"/>
  <c r="B27" i="65"/>
  <c r="N21" i="23" s="1"/>
  <c r="Q21" i="24" s="1"/>
  <c r="A28" i="65"/>
  <c r="M22" i="23" s="1"/>
  <c r="P22" i="24" s="1"/>
  <c r="BB25" i="65"/>
  <c r="BA25" i="65"/>
  <c r="N25" i="65" s="1"/>
  <c r="BB25" i="64"/>
  <c r="BA25" i="64"/>
  <c r="N25" i="64" s="1"/>
  <c r="B27" i="64"/>
  <c r="J21" i="23" s="1"/>
  <c r="L21" i="24" s="1"/>
  <c r="A28" i="64"/>
  <c r="I22" i="23" s="1"/>
  <c r="K22" i="24" s="1"/>
  <c r="CV26" i="64"/>
  <c r="CN26" i="64"/>
  <c r="CF26" i="64"/>
  <c r="BX26" i="64"/>
  <c r="BP26" i="64"/>
  <c r="BH26" i="64"/>
  <c r="AZ26" i="64"/>
  <c r="AR26" i="64"/>
  <c r="AJ26" i="64"/>
  <c r="CU26" i="64"/>
  <c r="CE26" i="64"/>
  <c r="BW26" i="64"/>
  <c r="BO26" i="64"/>
  <c r="BG26" i="64"/>
  <c r="AY26" i="64"/>
  <c r="AQ26" i="64"/>
  <c r="AI26" i="64"/>
  <c r="CT26" i="64"/>
  <c r="CD26" i="64"/>
  <c r="BV26" i="64"/>
  <c r="BN26" i="64"/>
  <c r="AX26" i="64"/>
  <c r="AP26" i="64"/>
  <c r="AH26" i="64"/>
  <c r="CS26" i="64"/>
  <c r="BU26" i="64"/>
  <c r="BM26" i="64"/>
  <c r="AW26" i="64"/>
  <c r="AO26" i="64"/>
  <c r="AG26" i="64"/>
  <c r="CR26" i="64"/>
  <c r="BT26" i="64"/>
  <c r="BL26" i="64"/>
  <c r="AV26" i="64"/>
  <c r="AN26" i="64"/>
  <c r="CH26" i="64"/>
  <c r="BR26" i="64"/>
  <c r="AK26" i="64"/>
  <c r="BQ26" i="64"/>
  <c r="BK26" i="64"/>
  <c r="D26" i="64"/>
  <c r="L20" i="23" s="1"/>
  <c r="O20" i="24" s="1"/>
  <c r="CW26" i="64"/>
  <c r="BJ26" i="64"/>
  <c r="AU26" i="64"/>
  <c r="BI26" i="64"/>
  <c r="AT26" i="64"/>
  <c r="CP26" i="64"/>
  <c r="BZ26" i="64"/>
  <c r="AS26" i="64"/>
  <c r="CO26" i="64"/>
  <c r="BY26" i="64"/>
  <c r="AM26" i="64"/>
  <c r="BS26" i="64"/>
  <c r="AL26" i="64"/>
  <c r="CU26" i="63"/>
  <c r="CE26" i="63"/>
  <c r="BW26" i="63"/>
  <c r="BO26" i="63"/>
  <c r="BG26" i="63"/>
  <c r="AY26" i="63"/>
  <c r="AQ26" i="63"/>
  <c r="AI26" i="63"/>
  <c r="CT26" i="63"/>
  <c r="BV26" i="63"/>
  <c r="BN26" i="63"/>
  <c r="AX26" i="63"/>
  <c r="AP26" i="63"/>
  <c r="AH26" i="63"/>
  <c r="CV26" i="63"/>
  <c r="BZ26" i="63"/>
  <c r="BP26" i="63"/>
  <c r="AU26" i="63"/>
  <c r="AK26" i="63"/>
  <c r="CS26" i="63"/>
  <c r="BY26" i="63"/>
  <c r="BM26" i="63"/>
  <c r="AT26" i="63"/>
  <c r="AJ26" i="63"/>
  <c r="CR26" i="63"/>
  <c r="CH26" i="63"/>
  <c r="BX26" i="63"/>
  <c r="BL26" i="63"/>
  <c r="AS26" i="63"/>
  <c r="AG26" i="63"/>
  <c r="BU26" i="63"/>
  <c r="BK26" i="63"/>
  <c r="AR26" i="63"/>
  <c r="CP26" i="63"/>
  <c r="CF26" i="63"/>
  <c r="BT26" i="63"/>
  <c r="BJ26" i="63"/>
  <c r="AO26" i="63"/>
  <c r="CO26" i="63"/>
  <c r="BS26" i="63"/>
  <c r="BI26" i="63"/>
  <c r="AZ26" i="63"/>
  <c r="AN26" i="63"/>
  <c r="CN26" i="63"/>
  <c r="BR26" i="63"/>
  <c r="BH26" i="63"/>
  <c r="AW26" i="63"/>
  <c r="AM26" i="63"/>
  <c r="D26" i="63"/>
  <c r="H20" i="23" s="1"/>
  <c r="J20" i="24" s="1"/>
  <c r="CW26" i="63"/>
  <c r="BQ26" i="63"/>
  <c r="AV26" i="63"/>
  <c r="AL26" i="63"/>
  <c r="A28" i="63"/>
  <c r="E22" i="23" s="1"/>
  <c r="F22" i="24" s="1"/>
  <c r="B27" i="63"/>
  <c r="F21" i="23" s="1"/>
  <c r="G21" i="24" s="1"/>
  <c r="CA25" i="63"/>
  <c r="O25" i="63" s="1"/>
  <c r="BB25" i="63"/>
  <c r="BA25" i="63"/>
  <c r="N25" i="63" s="1"/>
  <c r="Y25" i="63" s="1"/>
  <c r="AJ19" i="23" l="1"/>
  <c r="O19" i="25"/>
  <c r="AH20" i="23"/>
  <c r="L20" i="25" s="1"/>
  <c r="BT26" i="70"/>
  <c r="D26" i="70"/>
  <c r="AM26" i="70"/>
  <c r="AI26" i="70"/>
  <c r="BM26" i="70"/>
  <c r="AX26" i="70"/>
  <c r="BK26" i="70"/>
  <c r="CH26" i="70"/>
  <c r="CS26" i="70"/>
  <c r="CP26" i="70"/>
  <c r="AZ26" i="70"/>
  <c r="AN26" i="70"/>
  <c r="AR26" i="70"/>
  <c r="CI26" i="70"/>
  <c r="CV26" i="70"/>
  <c r="AT26" i="70"/>
  <c r="BY26" i="70"/>
  <c r="BU26" i="70"/>
  <c r="BQ26" i="70"/>
  <c r="AP26" i="70"/>
  <c r="AV26" i="70"/>
  <c r="CJ26" i="70"/>
  <c r="CN26" i="70"/>
  <c r="AL26" i="70"/>
  <c r="BO26" i="70"/>
  <c r="CK26" i="70"/>
  <c r="CF26" i="70"/>
  <c r="BS26" i="70"/>
  <c r="CW26" i="70"/>
  <c r="AJ26" i="70"/>
  <c r="AH26" i="70"/>
  <c r="CL26" i="70"/>
  <c r="BX26" i="70"/>
  <c r="BJ26" i="70"/>
  <c r="BV26" i="70"/>
  <c r="CR26" i="70"/>
  <c r="BN26" i="70"/>
  <c r="AY26" i="70"/>
  <c r="CM26" i="70"/>
  <c r="BP26" i="70"/>
  <c r="AS26" i="70"/>
  <c r="BG26" i="70"/>
  <c r="CD26" i="70"/>
  <c r="AQ26" i="70"/>
  <c r="AO26" i="70"/>
  <c r="BL26" i="70"/>
  <c r="CU26" i="70"/>
  <c r="AK26" i="70"/>
  <c r="AW26" i="70"/>
  <c r="AU26" i="70"/>
  <c r="AG26" i="70"/>
  <c r="BI26" i="70"/>
  <c r="BZ26" i="70"/>
  <c r="BB25" i="70"/>
  <c r="BA25" i="70"/>
  <c r="N25" i="70" s="1"/>
  <c r="AG21" i="23"/>
  <c r="K21" i="25" s="1"/>
  <c r="B27" i="70"/>
  <c r="A28" i="70"/>
  <c r="AV20" i="23"/>
  <c r="AD20" i="25"/>
  <c r="J20" i="25"/>
  <c r="AF20" i="23"/>
  <c r="T20" i="25"/>
  <c r="AN20" i="23"/>
  <c r="BA25" i="67"/>
  <c r="N25" i="67" s="1"/>
  <c r="BB25" i="67"/>
  <c r="U21" i="23"/>
  <c r="Z21" i="24" s="1"/>
  <c r="B27" i="67"/>
  <c r="A28" i="67"/>
  <c r="Y19" i="25"/>
  <c r="AR19" i="23"/>
  <c r="V20" i="23"/>
  <c r="AA20" i="24" s="1"/>
  <c r="CM26" i="67"/>
  <c r="CD26" i="67"/>
  <c r="AW26" i="67"/>
  <c r="BK26" i="67"/>
  <c r="AL26" i="67"/>
  <c r="CV26" i="67"/>
  <c r="CU26" i="67"/>
  <c r="BX26" i="67"/>
  <c r="AR26" i="67"/>
  <c r="CJ26" i="67"/>
  <c r="BV26" i="67"/>
  <c r="AO26" i="67"/>
  <c r="AU26" i="67"/>
  <c r="CW26" i="67"/>
  <c r="CN26" i="67"/>
  <c r="CE26" i="67"/>
  <c r="AY26" i="67"/>
  <c r="AQ26" i="67"/>
  <c r="BM26" i="67"/>
  <c r="D26" i="67"/>
  <c r="X20" i="23" s="1"/>
  <c r="AD20" i="24" s="1"/>
  <c r="AI26" i="67"/>
  <c r="CK26" i="67"/>
  <c r="AX26" i="67"/>
  <c r="AG26" i="67"/>
  <c r="AM26" i="67"/>
  <c r="CO26" i="67"/>
  <c r="BW26" i="67"/>
  <c r="AK26" i="67"/>
  <c r="AP26" i="67"/>
  <c r="CR26" i="67"/>
  <c r="CH26" i="67"/>
  <c r="BY26" i="67"/>
  <c r="BP26" i="67"/>
  <c r="BO26" i="67"/>
  <c r="AH26" i="67"/>
  <c r="BT26" i="67"/>
  <c r="BZ26" i="67"/>
  <c r="BQ26" i="67"/>
  <c r="BH26" i="67"/>
  <c r="BG26" i="67"/>
  <c r="BJ26" i="67"/>
  <c r="CT26" i="67"/>
  <c r="AJ26" i="67"/>
  <c r="CS26" i="67"/>
  <c r="BL26" i="67"/>
  <c r="BR26" i="67"/>
  <c r="AS26" i="67"/>
  <c r="AZ26" i="67"/>
  <c r="BU26" i="67"/>
  <c r="CI26" i="67"/>
  <c r="AV26" i="67"/>
  <c r="AN26" i="67"/>
  <c r="CQ26" i="67"/>
  <c r="AT26" i="67"/>
  <c r="CA25" i="66"/>
  <c r="O25" i="66" s="1"/>
  <c r="BB25" i="66"/>
  <c r="BA25" i="66"/>
  <c r="N25" i="66" s="1"/>
  <c r="R20" i="23"/>
  <c r="V20" i="24" s="1"/>
  <c r="CL26" i="66"/>
  <c r="CS26" i="66"/>
  <c r="BL26" i="66"/>
  <c r="CH26" i="66"/>
  <c r="BY26" i="66"/>
  <c r="CF26" i="66"/>
  <c r="CE26" i="66"/>
  <c r="BV26" i="66"/>
  <c r="CM26" i="66"/>
  <c r="BU26" i="66"/>
  <c r="AV26" i="66"/>
  <c r="BZ26" i="66"/>
  <c r="BQ26" i="66"/>
  <c r="BX26" i="66"/>
  <c r="BW26" i="66"/>
  <c r="BN26" i="66"/>
  <c r="CJ26" i="66"/>
  <c r="BM26" i="66"/>
  <c r="AN26" i="66"/>
  <c r="BR26" i="66"/>
  <c r="BI26" i="66"/>
  <c r="BP26" i="66"/>
  <c r="BO26" i="66"/>
  <c r="AX26" i="66"/>
  <c r="AW26" i="66"/>
  <c r="BS26" i="66"/>
  <c r="BJ26" i="66"/>
  <c r="AS26" i="66"/>
  <c r="BH26" i="66"/>
  <c r="BG26" i="66"/>
  <c r="AP26" i="66"/>
  <c r="AO26" i="66"/>
  <c r="BK26" i="66"/>
  <c r="AT26" i="66"/>
  <c r="AK26" i="66"/>
  <c r="AZ26" i="66"/>
  <c r="AY26" i="66"/>
  <c r="AH26" i="66"/>
  <c r="CQ26" i="66"/>
  <c r="AG26" i="66"/>
  <c r="AU26" i="66"/>
  <c r="AL26" i="66"/>
  <c r="D26" i="66"/>
  <c r="T20" i="23" s="1"/>
  <c r="Y20" i="24" s="1"/>
  <c r="AR26" i="66"/>
  <c r="AQ26" i="66"/>
  <c r="CT26" i="66"/>
  <c r="CK26" i="66"/>
  <c r="CR26" i="66"/>
  <c r="AM26" i="66"/>
  <c r="CW26" i="66"/>
  <c r="CV26" i="66"/>
  <c r="AJ26" i="66"/>
  <c r="AI26" i="66"/>
  <c r="CU26" i="66"/>
  <c r="CG26" i="66"/>
  <c r="BT26" i="66"/>
  <c r="CP26" i="66"/>
  <c r="CO26" i="66"/>
  <c r="CN26" i="66"/>
  <c r="Q21" i="23"/>
  <c r="U21" i="24" s="1"/>
  <c r="A28" i="66"/>
  <c r="B27" i="66"/>
  <c r="CQ27" i="71"/>
  <c r="CJ27" i="71"/>
  <c r="CI27" i="71"/>
  <c r="CK27" i="71"/>
  <c r="CL27" i="71"/>
  <c r="CM27" i="71"/>
  <c r="CG27" i="71"/>
  <c r="CK27" i="73"/>
  <c r="CG27" i="73"/>
  <c r="CI27" i="73"/>
  <c r="CL27" i="73"/>
  <c r="CM27" i="73"/>
  <c r="CQ27" i="73"/>
  <c r="CJ27" i="73"/>
  <c r="CK27" i="68"/>
  <c r="CG27" i="68"/>
  <c r="CL27" i="68"/>
  <c r="CM27" i="68"/>
  <c r="CQ27" i="68"/>
  <c r="CJ27" i="68"/>
  <c r="CJ26" i="72"/>
  <c r="CG26" i="72"/>
  <c r="CK26" i="72"/>
  <c r="CQ26" i="72"/>
  <c r="CL26" i="72"/>
  <c r="CI26" i="72"/>
  <c r="CM26" i="72"/>
  <c r="CI27" i="69"/>
  <c r="CQ27" i="69"/>
  <c r="CJ27" i="69"/>
  <c r="CK27" i="69"/>
  <c r="CL27" i="69"/>
  <c r="CG27" i="69"/>
  <c r="CM27" i="69"/>
  <c r="CI27" i="65"/>
  <c r="CG27" i="65"/>
  <c r="CQ27" i="65"/>
  <c r="CJ27" i="65"/>
  <c r="CK27" i="65"/>
  <c r="CL27" i="65"/>
  <c r="CM27" i="65"/>
  <c r="CI27" i="64"/>
  <c r="CJ27" i="64"/>
  <c r="CG27" i="64"/>
  <c r="CK27" i="64"/>
  <c r="CL27" i="64"/>
  <c r="CQ27" i="64"/>
  <c r="CM27" i="64"/>
  <c r="CI27" i="63"/>
  <c r="CJ27" i="63"/>
  <c r="CK27" i="63"/>
  <c r="CL27" i="63"/>
  <c r="CM27" i="63"/>
  <c r="CG27" i="63"/>
  <c r="CQ27" i="63"/>
  <c r="CX26" i="73"/>
  <c r="P26" i="73" s="1"/>
  <c r="CX26" i="68"/>
  <c r="P26" i="68" s="1"/>
  <c r="CX26" i="64"/>
  <c r="P26" i="64" s="1"/>
  <c r="CX26" i="71"/>
  <c r="P26" i="71" s="1"/>
  <c r="Q25" i="73"/>
  <c r="Q25" i="64"/>
  <c r="CA26" i="71"/>
  <c r="O26" i="71" s="1"/>
  <c r="BB26" i="73"/>
  <c r="BA26" i="73"/>
  <c r="N26" i="73" s="1"/>
  <c r="CA26" i="73"/>
  <c r="O26" i="73" s="1"/>
  <c r="CR27" i="73"/>
  <c r="CV27" i="73"/>
  <c r="CD27" i="73"/>
  <c r="BV27" i="73"/>
  <c r="BN27" i="73"/>
  <c r="AX27" i="73"/>
  <c r="AP27" i="73"/>
  <c r="AH27" i="73"/>
  <c r="CU27" i="73"/>
  <c r="BU27" i="73"/>
  <c r="BM27" i="73"/>
  <c r="AW27" i="73"/>
  <c r="AO27" i="73"/>
  <c r="AG27" i="73"/>
  <c r="CT27" i="73"/>
  <c r="BT27" i="73"/>
  <c r="BL27" i="73"/>
  <c r="AV27" i="73"/>
  <c r="AN27" i="73"/>
  <c r="CS27" i="73"/>
  <c r="BS27" i="73"/>
  <c r="BK27" i="73"/>
  <c r="AU27" i="73"/>
  <c r="AM27" i="73"/>
  <c r="CH27" i="73"/>
  <c r="BZ27" i="73"/>
  <c r="BR27" i="73"/>
  <c r="BJ27" i="73"/>
  <c r="AT27" i="73"/>
  <c r="AL27" i="73"/>
  <c r="CP27" i="73"/>
  <c r="BY27" i="73"/>
  <c r="BQ27" i="73"/>
  <c r="BI27" i="73"/>
  <c r="AS27" i="73"/>
  <c r="AK27" i="73"/>
  <c r="D27" i="73"/>
  <c r="CO27" i="73"/>
  <c r="CF27" i="73"/>
  <c r="BX27" i="73"/>
  <c r="BP27" i="73"/>
  <c r="BH27" i="73"/>
  <c r="AZ27" i="73"/>
  <c r="AR27" i="73"/>
  <c r="AJ27" i="73"/>
  <c r="CW27" i="73"/>
  <c r="CN27" i="73"/>
  <c r="CE27" i="73"/>
  <c r="BW27" i="73"/>
  <c r="BO27" i="73"/>
  <c r="BG27" i="73"/>
  <c r="AY27" i="73"/>
  <c r="AQ27" i="73"/>
  <c r="AI27" i="73"/>
  <c r="A29" i="73"/>
  <c r="AS23" i="23" s="1"/>
  <c r="Z23" i="25" s="1"/>
  <c r="B28" i="73"/>
  <c r="AT22" i="23" s="1"/>
  <c r="AA22" i="25" s="1"/>
  <c r="BB25" i="72"/>
  <c r="BA25" i="72"/>
  <c r="N25" i="72" s="1"/>
  <c r="CR26" i="72"/>
  <c r="BT26" i="72"/>
  <c r="BL26" i="72"/>
  <c r="AV26" i="72"/>
  <c r="AN26" i="72"/>
  <c r="BS26" i="72"/>
  <c r="BK26" i="72"/>
  <c r="AU26" i="72"/>
  <c r="AM26" i="72"/>
  <c r="CP26" i="72"/>
  <c r="CH26" i="72"/>
  <c r="BZ26" i="72"/>
  <c r="BR26" i="72"/>
  <c r="BJ26" i="72"/>
  <c r="AT26" i="72"/>
  <c r="AL26" i="72"/>
  <c r="CO26" i="72"/>
  <c r="BY26" i="72"/>
  <c r="BQ26" i="72"/>
  <c r="BI26" i="72"/>
  <c r="AS26" i="72"/>
  <c r="AK26" i="72"/>
  <c r="D26" i="72"/>
  <c r="CV26" i="72"/>
  <c r="BW26" i="72"/>
  <c r="BO26" i="72"/>
  <c r="BG26" i="72"/>
  <c r="AY26" i="72"/>
  <c r="AQ26" i="72"/>
  <c r="AI26" i="72"/>
  <c r="CU26" i="72"/>
  <c r="CD26" i="72"/>
  <c r="BV26" i="72"/>
  <c r="BN26" i="72"/>
  <c r="AX26" i="72"/>
  <c r="AP26" i="72"/>
  <c r="AH26" i="72"/>
  <c r="CS26" i="72"/>
  <c r="BU26" i="72"/>
  <c r="BM26" i="72"/>
  <c r="AW26" i="72"/>
  <c r="AO26" i="72"/>
  <c r="AG26" i="72"/>
  <c r="BX26" i="72"/>
  <c r="AR26" i="72"/>
  <c r="BH26" i="72"/>
  <c r="CW26" i="72"/>
  <c r="CN26" i="72"/>
  <c r="CF26" i="72"/>
  <c r="AZ26" i="72"/>
  <c r="AJ26" i="72"/>
  <c r="BP26" i="72"/>
  <c r="CA25" i="72"/>
  <c r="O25" i="72" s="1"/>
  <c r="A28" i="72"/>
  <c r="AO22" i="23" s="1"/>
  <c r="U22" i="25" s="1"/>
  <c r="B27" i="72"/>
  <c r="AP21" i="23" s="1"/>
  <c r="V21" i="25" s="1"/>
  <c r="CS27" i="71"/>
  <c r="BM27" i="71"/>
  <c r="AW27" i="71"/>
  <c r="AO27" i="71"/>
  <c r="AG27" i="71"/>
  <c r="BT27" i="71"/>
  <c r="BL27" i="71"/>
  <c r="AV27" i="71"/>
  <c r="AN27" i="71"/>
  <c r="BS27" i="71"/>
  <c r="AU27" i="71"/>
  <c r="AM27" i="71"/>
  <c r="CU27" i="71"/>
  <c r="CE27" i="71"/>
  <c r="BW27" i="71"/>
  <c r="BO27" i="71"/>
  <c r="BG27" i="71"/>
  <c r="AY27" i="71"/>
  <c r="AQ27" i="71"/>
  <c r="AI27" i="71"/>
  <c r="BY27" i="71"/>
  <c r="BI27" i="71"/>
  <c r="AZ27" i="71"/>
  <c r="AJ27" i="71"/>
  <c r="BX27" i="71"/>
  <c r="BH27" i="71"/>
  <c r="AX27" i="71"/>
  <c r="AH27" i="71"/>
  <c r="CW27" i="71"/>
  <c r="BV27" i="71"/>
  <c r="AT27" i="71"/>
  <c r="D27" i="71"/>
  <c r="CV27" i="71"/>
  <c r="CF27" i="71"/>
  <c r="BR27" i="71"/>
  <c r="AS27" i="71"/>
  <c r="CT27" i="71"/>
  <c r="CD27" i="71"/>
  <c r="BQ27" i="71"/>
  <c r="AR27" i="71"/>
  <c r="CP27" i="71"/>
  <c r="BP27" i="71"/>
  <c r="AP27" i="71"/>
  <c r="CN27" i="71"/>
  <c r="BZ27" i="71"/>
  <c r="BN27" i="71"/>
  <c r="AL27" i="71"/>
  <c r="BJ27" i="71"/>
  <c r="AK27" i="71"/>
  <c r="CO27" i="71"/>
  <c r="B28" i="71"/>
  <c r="AL22" i="23" s="1"/>
  <c r="Q22" i="25" s="1"/>
  <c r="A29" i="71"/>
  <c r="AK23" i="23" s="1"/>
  <c r="P23" i="25" s="1"/>
  <c r="BB26" i="71"/>
  <c r="BA26" i="71"/>
  <c r="N26" i="71" s="1"/>
  <c r="Y25" i="71" s="1"/>
  <c r="Y40" i="71" s="1"/>
  <c r="BB26" i="69"/>
  <c r="BA26" i="69"/>
  <c r="N26" i="69" s="1"/>
  <c r="A29" i="69"/>
  <c r="AC23" i="23" s="1"/>
  <c r="F23" i="25" s="1"/>
  <c r="B28" i="69"/>
  <c r="AD22" i="23" s="1"/>
  <c r="G22" i="25" s="1"/>
  <c r="CA26" i="69"/>
  <c r="O26" i="69" s="1"/>
  <c r="CP27" i="69"/>
  <c r="CH27" i="69"/>
  <c r="BZ27" i="69"/>
  <c r="BR27" i="69"/>
  <c r="BJ27" i="69"/>
  <c r="CW27" i="69"/>
  <c r="CN27" i="69"/>
  <c r="BV27" i="69"/>
  <c r="BM27" i="69"/>
  <c r="AV27" i="69"/>
  <c r="AN27" i="69"/>
  <c r="CV27" i="69"/>
  <c r="CD27" i="69"/>
  <c r="BU27" i="69"/>
  <c r="BL27" i="69"/>
  <c r="AU27" i="69"/>
  <c r="AM27" i="69"/>
  <c r="CU27" i="69"/>
  <c r="BT27" i="69"/>
  <c r="BK27" i="69"/>
  <c r="AT27" i="69"/>
  <c r="AL27" i="69"/>
  <c r="CT27" i="69"/>
  <c r="BS27" i="69"/>
  <c r="BI27" i="69"/>
  <c r="AS27" i="69"/>
  <c r="AK27" i="69"/>
  <c r="D27" i="69"/>
  <c r="CS27" i="69"/>
  <c r="BQ27" i="69"/>
  <c r="BH27" i="69"/>
  <c r="AZ27" i="69"/>
  <c r="AR27" i="69"/>
  <c r="AJ27" i="69"/>
  <c r="CR27" i="69"/>
  <c r="BY27" i="69"/>
  <c r="BP27" i="69"/>
  <c r="BG27" i="69"/>
  <c r="AY27" i="69"/>
  <c r="AQ27" i="69"/>
  <c r="AI27" i="69"/>
  <c r="BX27" i="69"/>
  <c r="BO27" i="69"/>
  <c r="AX27" i="69"/>
  <c r="AP27" i="69"/>
  <c r="AH27" i="69"/>
  <c r="CF27" i="69"/>
  <c r="AW27" i="69"/>
  <c r="AO27" i="69"/>
  <c r="BW27" i="69"/>
  <c r="AG27" i="69"/>
  <c r="BN27" i="69"/>
  <c r="CU27" i="68"/>
  <c r="CE27" i="68"/>
  <c r="BW27" i="68"/>
  <c r="BO27" i="68"/>
  <c r="BG27" i="68"/>
  <c r="AY27" i="68"/>
  <c r="AQ27" i="68"/>
  <c r="AI27" i="68"/>
  <c r="CT27" i="68"/>
  <c r="BV27" i="68"/>
  <c r="BN27" i="68"/>
  <c r="AX27" i="68"/>
  <c r="AP27" i="68"/>
  <c r="AH27" i="68"/>
  <c r="CS27" i="68"/>
  <c r="BU27" i="68"/>
  <c r="BM27" i="68"/>
  <c r="AW27" i="68"/>
  <c r="AO27" i="68"/>
  <c r="AG27" i="68"/>
  <c r="CR27" i="68"/>
  <c r="BT27" i="68"/>
  <c r="BL27" i="68"/>
  <c r="AV27" i="68"/>
  <c r="AN27" i="68"/>
  <c r="CH27" i="68"/>
  <c r="BX27" i="68"/>
  <c r="BH27" i="68"/>
  <c r="AU27" i="68"/>
  <c r="CW27" i="68"/>
  <c r="BS27" i="68"/>
  <c r="AT27" i="68"/>
  <c r="D27" i="68"/>
  <c r="AB21" i="23" s="1"/>
  <c r="E21" i="25" s="1"/>
  <c r="CV27" i="68"/>
  <c r="CF27" i="68"/>
  <c r="BR27" i="68"/>
  <c r="AS27" i="68"/>
  <c r="BQ27" i="68"/>
  <c r="AR27" i="68"/>
  <c r="CP27" i="68"/>
  <c r="BP27" i="68"/>
  <c r="AM27" i="68"/>
  <c r="CO27" i="68"/>
  <c r="BK27" i="68"/>
  <c r="AL27" i="68"/>
  <c r="CN27" i="68"/>
  <c r="BZ27" i="68"/>
  <c r="BJ27" i="68"/>
  <c r="AK27" i="68"/>
  <c r="BY27" i="68"/>
  <c r="BI27" i="68"/>
  <c r="AZ27" i="68"/>
  <c r="AJ27" i="68"/>
  <c r="B28" i="68"/>
  <c r="Z22" i="23" s="1"/>
  <c r="B22" i="25" s="1"/>
  <c r="A29" i="68"/>
  <c r="Y23" i="23" s="1"/>
  <c r="A23" i="25" s="1"/>
  <c r="BB26" i="68"/>
  <c r="BA26" i="68"/>
  <c r="N26" i="68" s="1"/>
  <c r="Q25" i="68"/>
  <c r="CA26" i="68"/>
  <c r="O26" i="68" s="1"/>
  <c r="A29" i="65"/>
  <c r="M23" i="23" s="1"/>
  <c r="P23" i="24" s="1"/>
  <c r="B28" i="65"/>
  <c r="N22" i="23" s="1"/>
  <c r="Q22" i="24" s="1"/>
  <c r="BB26" i="65"/>
  <c r="BA26" i="65"/>
  <c r="N26" i="65" s="1"/>
  <c r="CW27" i="65"/>
  <c r="CO27" i="65"/>
  <c r="BY27" i="65"/>
  <c r="BQ27" i="65"/>
  <c r="BI27" i="65"/>
  <c r="AS27" i="65"/>
  <c r="AK27" i="65"/>
  <c r="D27" i="65"/>
  <c r="P21" i="23" s="1"/>
  <c r="T21" i="24" s="1"/>
  <c r="CV27" i="65"/>
  <c r="CN27" i="65"/>
  <c r="CF27" i="65"/>
  <c r="BX27" i="65"/>
  <c r="BP27" i="65"/>
  <c r="BH27" i="65"/>
  <c r="AZ27" i="65"/>
  <c r="AR27" i="65"/>
  <c r="AJ27" i="65"/>
  <c r="CS27" i="65"/>
  <c r="BW27" i="65"/>
  <c r="BM27" i="65"/>
  <c r="AQ27" i="65"/>
  <c r="AG27" i="65"/>
  <c r="CR27" i="65"/>
  <c r="CH27" i="65"/>
  <c r="BV27" i="65"/>
  <c r="BL27" i="65"/>
  <c r="AP27" i="65"/>
  <c r="CU27" i="65"/>
  <c r="CE27" i="65"/>
  <c r="BS27" i="65"/>
  <c r="AT27" i="65"/>
  <c r="CT27" i="65"/>
  <c r="CD27" i="65"/>
  <c r="BR27" i="65"/>
  <c r="AO27" i="65"/>
  <c r="BO27" i="65"/>
  <c r="AN27" i="65"/>
  <c r="CP27" i="65"/>
  <c r="BN27" i="65"/>
  <c r="AY27" i="65"/>
  <c r="AM27" i="65"/>
  <c r="BK27" i="65"/>
  <c r="AX27" i="65"/>
  <c r="AL27" i="65"/>
  <c r="BZ27" i="65"/>
  <c r="BJ27" i="65"/>
  <c r="AW27" i="65"/>
  <c r="AI27" i="65"/>
  <c r="BU27" i="65"/>
  <c r="BG27" i="65"/>
  <c r="AV27" i="65"/>
  <c r="AH27" i="65"/>
  <c r="BT27" i="65"/>
  <c r="AU27" i="65"/>
  <c r="BB26" i="64"/>
  <c r="BA26" i="64"/>
  <c r="N26" i="64" s="1"/>
  <c r="B28" i="64"/>
  <c r="J22" i="23" s="1"/>
  <c r="L22" i="24" s="1"/>
  <c r="A29" i="64"/>
  <c r="I23" i="23" s="1"/>
  <c r="K23" i="24" s="1"/>
  <c r="CA26" i="64"/>
  <c r="O26" i="64" s="1"/>
  <c r="BS27" i="64"/>
  <c r="BK27" i="64"/>
  <c r="AU27" i="64"/>
  <c r="AM27" i="64"/>
  <c r="CP27" i="64"/>
  <c r="CH27" i="64"/>
  <c r="BZ27" i="64"/>
  <c r="BR27" i="64"/>
  <c r="BJ27" i="64"/>
  <c r="AT27" i="64"/>
  <c r="AL27" i="64"/>
  <c r="CW27" i="64"/>
  <c r="CO27" i="64"/>
  <c r="BY27" i="64"/>
  <c r="BQ27" i="64"/>
  <c r="BI27" i="64"/>
  <c r="AS27" i="64"/>
  <c r="AK27" i="64"/>
  <c r="D27" i="64"/>
  <c r="L21" i="23" s="1"/>
  <c r="O21" i="24" s="1"/>
  <c r="CV27" i="64"/>
  <c r="CN27" i="64"/>
  <c r="CF27" i="64"/>
  <c r="BX27" i="64"/>
  <c r="BP27" i="64"/>
  <c r="BH27" i="64"/>
  <c r="AZ27" i="64"/>
  <c r="AR27" i="64"/>
  <c r="AJ27" i="64"/>
  <c r="CU27" i="64"/>
  <c r="CE27" i="64"/>
  <c r="BW27" i="64"/>
  <c r="BO27" i="64"/>
  <c r="BG27" i="64"/>
  <c r="AY27" i="64"/>
  <c r="AQ27" i="64"/>
  <c r="AI27" i="64"/>
  <c r="CT27" i="64"/>
  <c r="CD27" i="64"/>
  <c r="BV27" i="64"/>
  <c r="BN27" i="64"/>
  <c r="AX27" i="64"/>
  <c r="AP27" i="64"/>
  <c r="CS27" i="64"/>
  <c r="CR27" i="64"/>
  <c r="BT27" i="64"/>
  <c r="BL27" i="64"/>
  <c r="AW27" i="64"/>
  <c r="AV27" i="64"/>
  <c r="BU27" i="64"/>
  <c r="AO27" i="64"/>
  <c r="BM27" i="64"/>
  <c r="AN27" i="64"/>
  <c r="AH27" i="64"/>
  <c r="AG27" i="64"/>
  <c r="CA26" i="63"/>
  <c r="O26" i="63" s="1"/>
  <c r="CP27" i="63"/>
  <c r="CH27" i="63"/>
  <c r="BZ27" i="63"/>
  <c r="BR27" i="63"/>
  <c r="BJ27" i="63"/>
  <c r="AT27" i="63"/>
  <c r="AL27" i="63"/>
  <c r="CW27" i="63"/>
  <c r="CO27" i="63"/>
  <c r="BY27" i="63"/>
  <c r="BQ27" i="63"/>
  <c r="BI27" i="63"/>
  <c r="AS27" i="63"/>
  <c r="AK27" i="63"/>
  <c r="D27" i="63"/>
  <c r="H21" i="23" s="1"/>
  <c r="J21" i="24" s="1"/>
  <c r="CS27" i="63"/>
  <c r="BW27" i="63"/>
  <c r="BM27" i="63"/>
  <c r="AQ27" i="63"/>
  <c r="AG27" i="63"/>
  <c r="CR27" i="63"/>
  <c r="CF27" i="63"/>
  <c r="BV27" i="63"/>
  <c r="BL27" i="63"/>
  <c r="AZ27" i="63"/>
  <c r="AP27" i="63"/>
  <c r="BU27" i="63"/>
  <c r="BK27" i="63"/>
  <c r="AY27" i="63"/>
  <c r="AO27" i="63"/>
  <c r="CN27" i="63"/>
  <c r="BT27" i="63"/>
  <c r="BH27" i="63"/>
  <c r="AX27" i="63"/>
  <c r="AN27" i="63"/>
  <c r="BS27" i="63"/>
  <c r="AW27" i="63"/>
  <c r="AM27" i="63"/>
  <c r="CV27" i="63"/>
  <c r="BP27" i="63"/>
  <c r="AV27" i="63"/>
  <c r="AJ27" i="63"/>
  <c r="CU27" i="63"/>
  <c r="BO27" i="63"/>
  <c r="AU27" i="63"/>
  <c r="AI27" i="63"/>
  <c r="CT27" i="63"/>
  <c r="BX27" i="63"/>
  <c r="BN27" i="63"/>
  <c r="AR27" i="63"/>
  <c r="AH27" i="63"/>
  <c r="B28" i="63"/>
  <c r="F22" i="23" s="1"/>
  <c r="G22" i="24" s="1"/>
  <c r="A29" i="63"/>
  <c r="E23" i="23" s="1"/>
  <c r="F23" i="24" s="1"/>
  <c r="BB26" i="63"/>
  <c r="BA26" i="63"/>
  <c r="N26" i="63" s="1"/>
  <c r="BA26" i="70" l="1"/>
  <c r="N26" i="70" s="1"/>
  <c r="BB26" i="70"/>
  <c r="AG22" i="23"/>
  <c r="K22" i="25" s="1"/>
  <c r="B28" i="70"/>
  <c r="A29" i="70"/>
  <c r="AJ20" i="23"/>
  <c r="O20" i="25"/>
  <c r="AH21" i="23"/>
  <c r="L21" i="25" s="1"/>
  <c r="CG27" i="70"/>
  <c r="AZ27" i="70"/>
  <c r="CD27" i="70"/>
  <c r="D27" i="70"/>
  <c r="AK27" i="70"/>
  <c r="AH27" i="70"/>
  <c r="CQ27" i="70"/>
  <c r="BK27" i="70"/>
  <c r="AR27" i="70"/>
  <c r="BT27" i="70"/>
  <c r="CW27" i="70"/>
  <c r="CT27" i="70"/>
  <c r="AG27" i="70"/>
  <c r="CJ27" i="70"/>
  <c r="AU27" i="70"/>
  <c r="AJ27" i="70"/>
  <c r="AY27" i="70"/>
  <c r="BQ27" i="70"/>
  <c r="BY27" i="70"/>
  <c r="BW27" i="70"/>
  <c r="AM27" i="70"/>
  <c r="CE27" i="70"/>
  <c r="AO27" i="70"/>
  <c r="AW27" i="70"/>
  <c r="BM27" i="70"/>
  <c r="BV27" i="70"/>
  <c r="CI27" i="70"/>
  <c r="CV27" i="70"/>
  <c r="BU27" i="70"/>
  <c r="BR27" i="70"/>
  <c r="AL27" i="70"/>
  <c r="AS27" i="70"/>
  <c r="CS27" i="70"/>
  <c r="CK27" i="70"/>
  <c r="CN27" i="70"/>
  <c r="BJ27" i="70"/>
  <c r="BG27" i="70"/>
  <c r="BZ27" i="70"/>
  <c r="BL27" i="70"/>
  <c r="BN27" i="70"/>
  <c r="CL27" i="70"/>
  <c r="BP27" i="70"/>
  <c r="AP27" i="70"/>
  <c r="AX27" i="70"/>
  <c r="BO27" i="70"/>
  <c r="AQ27" i="70"/>
  <c r="AT27" i="70"/>
  <c r="CM27" i="70"/>
  <c r="BH27" i="70"/>
  <c r="CO27" i="70"/>
  <c r="AN27" i="70"/>
  <c r="AV27" i="70"/>
  <c r="AI27" i="70"/>
  <c r="BB26" i="67"/>
  <c r="BA26" i="67"/>
  <c r="N26" i="67" s="1"/>
  <c r="T21" i="25"/>
  <c r="AN21" i="23"/>
  <c r="AR20" i="23"/>
  <c r="Y20" i="25"/>
  <c r="U22" i="23"/>
  <c r="Z22" i="24" s="1"/>
  <c r="A29" i="67"/>
  <c r="B28" i="67"/>
  <c r="J21" i="25"/>
  <c r="AF21" i="23"/>
  <c r="V21" i="23"/>
  <c r="AA21" i="24" s="1"/>
  <c r="CW27" i="67"/>
  <c r="BR27" i="67"/>
  <c r="BH27" i="67"/>
  <c r="AQ27" i="67"/>
  <c r="CE27" i="67"/>
  <c r="BU27" i="67"/>
  <c r="AT27" i="67"/>
  <c r="AI27" i="67"/>
  <c r="BL27" i="67"/>
  <c r="AH27" i="67"/>
  <c r="CO27" i="67"/>
  <c r="BI27" i="67"/>
  <c r="AZ27" i="67"/>
  <c r="BV27" i="67"/>
  <c r="AL27" i="67"/>
  <c r="BZ27" i="67"/>
  <c r="CP27" i="67"/>
  <c r="AY27" i="67"/>
  <c r="CV27" i="67"/>
  <c r="AS27" i="67"/>
  <c r="AR27" i="67"/>
  <c r="CR27" i="67"/>
  <c r="BM27" i="67"/>
  <c r="AV27" i="67"/>
  <c r="AP27" i="67"/>
  <c r="CU27" i="67"/>
  <c r="CI27" i="67"/>
  <c r="CN27" i="67"/>
  <c r="AK27" i="67"/>
  <c r="AJ27" i="67"/>
  <c r="BW27" i="67"/>
  <c r="AW27" i="67"/>
  <c r="AN27" i="67"/>
  <c r="BP27" i="67"/>
  <c r="AM27" i="67"/>
  <c r="CJ27" i="67"/>
  <c r="CF27" i="67"/>
  <c r="D27" i="67"/>
  <c r="X21" i="23" s="1"/>
  <c r="AD21" i="24" s="1"/>
  <c r="CS27" i="67"/>
  <c r="BN27" i="67"/>
  <c r="AO27" i="67"/>
  <c r="BK27" i="67"/>
  <c r="AX27" i="67"/>
  <c r="AU27" i="67"/>
  <c r="BS27" i="67"/>
  <c r="CK27" i="67"/>
  <c r="BX27" i="67"/>
  <c r="CT27" i="67"/>
  <c r="BY27" i="67"/>
  <c r="AG27" i="67"/>
  <c r="BQ27" i="67"/>
  <c r="CL27" i="67"/>
  <c r="BG27" i="67"/>
  <c r="CD27" i="67"/>
  <c r="CQ27" i="67"/>
  <c r="AV21" i="23"/>
  <c r="AD21" i="25"/>
  <c r="Q22" i="23"/>
  <c r="U22" i="24" s="1"/>
  <c r="B28" i="66"/>
  <c r="A29" i="66"/>
  <c r="BB26" i="66"/>
  <c r="BA26" i="66"/>
  <c r="N26" i="66" s="1"/>
  <c r="R21" i="23"/>
  <c r="V21" i="24" s="1"/>
  <c r="CN27" i="66"/>
  <c r="CU27" i="66"/>
  <c r="BN27" i="66"/>
  <c r="AO27" i="66"/>
  <c r="AU27" i="66"/>
  <c r="AL27" i="66"/>
  <c r="D27" i="66"/>
  <c r="T21" i="23" s="1"/>
  <c r="Y21" i="24" s="1"/>
  <c r="AH27" i="66"/>
  <c r="BZ27" i="66"/>
  <c r="CF27" i="66"/>
  <c r="BW27" i="66"/>
  <c r="AX27" i="66"/>
  <c r="AG27" i="66"/>
  <c r="AM27" i="66"/>
  <c r="CW27" i="66"/>
  <c r="BT27" i="66"/>
  <c r="BQ27" i="66"/>
  <c r="CI27" i="66"/>
  <c r="BX27" i="66"/>
  <c r="BO27" i="66"/>
  <c r="AP27" i="66"/>
  <c r="CR27" i="66"/>
  <c r="CP27" i="66"/>
  <c r="CO27" i="66"/>
  <c r="BY27" i="66"/>
  <c r="CQ27" i="66"/>
  <c r="BP27" i="66"/>
  <c r="AY27" i="66"/>
  <c r="CH27" i="66"/>
  <c r="CG27" i="66"/>
  <c r="BH27" i="66"/>
  <c r="AQ27" i="66"/>
  <c r="CS27" i="66"/>
  <c r="AV27" i="66"/>
  <c r="CK27" i="66"/>
  <c r="AZ27" i="66"/>
  <c r="AI27" i="66"/>
  <c r="BU27" i="66"/>
  <c r="AN27" i="66"/>
  <c r="BR27" i="66"/>
  <c r="BI27" i="66"/>
  <c r="AS27" i="66"/>
  <c r="CL27" i="66"/>
  <c r="AR27" i="66"/>
  <c r="CT27" i="66"/>
  <c r="BM27" i="66"/>
  <c r="BS27" i="66"/>
  <c r="BJ27" i="66"/>
  <c r="CM27" i="66"/>
  <c r="CV27" i="66"/>
  <c r="AJ27" i="66"/>
  <c r="BV27" i="66"/>
  <c r="AW27" i="66"/>
  <c r="BK27" i="66"/>
  <c r="AT27" i="66"/>
  <c r="AK27" i="66"/>
  <c r="CA26" i="66"/>
  <c r="O26" i="66" s="1"/>
  <c r="CQ28" i="71"/>
  <c r="CI28" i="71"/>
  <c r="CG28" i="71"/>
  <c r="CJ28" i="71"/>
  <c r="CK28" i="71"/>
  <c r="CL28" i="71"/>
  <c r="CM28" i="71"/>
  <c r="CI28" i="69"/>
  <c r="CJ28" i="69"/>
  <c r="CK28" i="69"/>
  <c r="CL28" i="69"/>
  <c r="CQ28" i="69"/>
  <c r="CM28" i="69"/>
  <c r="CG28" i="69"/>
  <c r="CI27" i="72"/>
  <c r="CJ27" i="72"/>
  <c r="CK27" i="72"/>
  <c r="CL27" i="72"/>
  <c r="CM27" i="72"/>
  <c r="CG27" i="72"/>
  <c r="CQ27" i="72"/>
  <c r="CI28" i="68"/>
  <c r="CG28" i="68"/>
  <c r="CK28" i="68"/>
  <c r="CL28" i="68"/>
  <c r="CQ28" i="68"/>
  <c r="CM28" i="68"/>
  <c r="CG28" i="73"/>
  <c r="CI28" i="73"/>
  <c r="CJ28" i="73"/>
  <c r="CK28" i="73"/>
  <c r="CL28" i="73"/>
  <c r="CQ28" i="73"/>
  <c r="CM28" i="73"/>
  <c r="CJ28" i="65"/>
  <c r="CG28" i="65"/>
  <c r="CK28" i="65"/>
  <c r="CL28" i="65"/>
  <c r="CM28" i="65"/>
  <c r="CQ28" i="65"/>
  <c r="CI28" i="64"/>
  <c r="CL28" i="64"/>
  <c r="CM28" i="64"/>
  <c r="CG28" i="64"/>
  <c r="CQ28" i="64"/>
  <c r="CJ28" i="64"/>
  <c r="CK28" i="64"/>
  <c r="CI28" i="63"/>
  <c r="CJ28" i="63"/>
  <c r="CK28" i="63"/>
  <c r="CL28" i="63"/>
  <c r="CM28" i="63"/>
  <c r="CG28" i="63"/>
  <c r="CQ28" i="63"/>
  <c r="CX27" i="64"/>
  <c r="P27" i="64" s="1"/>
  <c r="Q26" i="71"/>
  <c r="CX27" i="65"/>
  <c r="P27" i="65" s="1"/>
  <c r="CX27" i="73"/>
  <c r="P27" i="73" s="1"/>
  <c r="Q26" i="68"/>
  <c r="Q26" i="73"/>
  <c r="CU28" i="73"/>
  <c r="CE28" i="73"/>
  <c r="BW28" i="73"/>
  <c r="BO28" i="73"/>
  <c r="BG28" i="73"/>
  <c r="AY28" i="73"/>
  <c r="AQ28" i="73"/>
  <c r="AI28" i="73"/>
  <c r="CR28" i="73"/>
  <c r="BZ28" i="73"/>
  <c r="BQ28" i="73"/>
  <c r="BH28" i="73"/>
  <c r="AX28" i="73"/>
  <c r="AO28" i="73"/>
  <c r="CH28" i="73"/>
  <c r="BY28" i="73"/>
  <c r="BP28" i="73"/>
  <c r="AW28" i="73"/>
  <c r="AN28" i="73"/>
  <c r="CP28" i="73"/>
  <c r="BX28" i="73"/>
  <c r="BN28" i="73"/>
  <c r="AV28" i="73"/>
  <c r="AM28" i="73"/>
  <c r="CO28" i="73"/>
  <c r="CF28" i="73"/>
  <c r="BV28" i="73"/>
  <c r="BM28" i="73"/>
  <c r="AU28" i="73"/>
  <c r="AL28" i="73"/>
  <c r="D28" i="73"/>
  <c r="CW28" i="73"/>
  <c r="CN28" i="73"/>
  <c r="CD28" i="73"/>
  <c r="BU28" i="73"/>
  <c r="BL28" i="73"/>
  <c r="AT28" i="73"/>
  <c r="AK28" i="73"/>
  <c r="CV28" i="73"/>
  <c r="BT28" i="73"/>
  <c r="BK28" i="73"/>
  <c r="AS28" i="73"/>
  <c r="AJ28" i="73"/>
  <c r="CT28" i="73"/>
  <c r="BS28" i="73"/>
  <c r="BJ28" i="73"/>
  <c r="AR28" i="73"/>
  <c r="AH28" i="73"/>
  <c r="CS28" i="73"/>
  <c r="BR28" i="73"/>
  <c r="BI28" i="73"/>
  <c r="AZ28" i="73"/>
  <c r="AP28" i="73"/>
  <c r="AG28" i="73"/>
  <c r="B29" i="73"/>
  <c r="AT23" i="23" s="1"/>
  <c r="AA23" i="25" s="1"/>
  <c r="A30" i="73"/>
  <c r="AS24" i="23" s="1"/>
  <c r="Z24" i="25" s="1"/>
  <c r="BB27" i="73"/>
  <c r="BA27" i="73"/>
  <c r="N27" i="73" s="1"/>
  <c r="CA27" i="73"/>
  <c r="O27" i="73" s="1"/>
  <c r="CW27" i="72"/>
  <c r="CO27" i="72"/>
  <c r="BY27" i="72"/>
  <c r="BQ27" i="72"/>
  <c r="BI27" i="72"/>
  <c r="AS27" i="72"/>
  <c r="AK27" i="72"/>
  <c r="D27" i="72"/>
  <c r="CN27" i="72"/>
  <c r="CE27" i="72"/>
  <c r="BM27" i="72"/>
  <c r="AU27" i="72"/>
  <c r="AL27" i="72"/>
  <c r="CV27" i="72"/>
  <c r="BU27" i="72"/>
  <c r="BL27" i="72"/>
  <c r="AT27" i="72"/>
  <c r="AJ27" i="72"/>
  <c r="BT27" i="72"/>
  <c r="BK27" i="72"/>
  <c r="AR27" i="72"/>
  <c r="AI27" i="72"/>
  <c r="CT27" i="72"/>
  <c r="BS27" i="72"/>
  <c r="BJ27" i="72"/>
  <c r="AZ27" i="72"/>
  <c r="AQ27" i="72"/>
  <c r="AH27" i="72"/>
  <c r="BR27" i="72"/>
  <c r="BH27" i="72"/>
  <c r="AY27" i="72"/>
  <c r="AP27" i="72"/>
  <c r="AG27" i="72"/>
  <c r="CR27" i="72"/>
  <c r="BZ27" i="72"/>
  <c r="BP27" i="72"/>
  <c r="AX27" i="72"/>
  <c r="AO27" i="72"/>
  <c r="CH27" i="72"/>
  <c r="BX27" i="72"/>
  <c r="BO27" i="72"/>
  <c r="AW27" i="72"/>
  <c r="AN27" i="72"/>
  <c r="CP27" i="72"/>
  <c r="BW27" i="72"/>
  <c r="BN27" i="72"/>
  <c r="AV27" i="72"/>
  <c r="AM27" i="72"/>
  <c r="A29" i="72"/>
  <c r="AO23" i="23" s="1"/>
  <c r="U23" i="25" s="1"/>
  <c r="B28" i="72"/>
  <c r="AP22" i="23" s="1"/>
  <c r="V22" i="25" s="1"/>
  <c r="BB26" i="72"/>
  <c r="BA26" i="72"/>
  <c r="N26" i="72" s="1"/>
  <c r="CA26" i="72"/>
  <c r="O26" i="72" s="1"/>
  <c r="BB27" i="71"/>
  <c r="BA27" i="71"/>
  <c r="N27" i="71" s="1"/>
  <c r="A30" i="71"/>
  <c r="AK24" i="23" s="1"/>
  <c r="P24" i="25" s="1"/>
  <c r="B29" i="71"/>
  <c r="AL23" i="23" s="1"/>
  <c r="Q23" i="25" s="1"/>
  <c r="CV28" i="71"/>
  <c r="CN28" i="71"/>
  <c r="CF28" i="71"/>
  <c r="BX28" i="71"/>
  <c r="BP28" i="71"/>
  <c r="BH28" i="71"/>
  <c r="AZ28" i="71"/>
  <c r="AR28" i="71"/>
  <c r="AJ28" i="71"/>
  <c r="CU28" i="71"/>
  <c r="CE28" i="71"/>
  <c r="BW28" i="71"/>
  <c r="BO28" i="71"/>
  <c r="BG28" i="71"/>
  <c r="AY28" i="71"/>
  <c r="AQ28" i="71"/>
  <c r="AI28" i="71"/>
  <c r="CT28" i="71"/>
  <c r="CD28" i="71"/>
  <c r="BV28" i="71"/>
  <c r="BN28" i="71"/>
  <c r="AX28" i="71"/>
  <c r="AP28" i="71"/>
  <c r="AH28" i="71"/>
  <c r="CR28" i="71"/>
  <c r="BT28" i="71"/>
  <c r="BL28" i="71"/>
  <c r="AV28" i="71"/>
  <c r="AN28" i="71"/>
  <c r="CP28" i="71"/>
  <c r="CH28" i="71"/>
  <c r="BZ28" i="71"/>
  <c r="BR28" i="71"/>
  <c r="BJ28" i="71"/>
  <c r="AT28" i="71"/>
  <c r="AL28" i="71"/>
  <c r="BM28" i="71"/>
  <c r="AW28" i="71"/>
  <c r="D28" i="71"/>
  <c r="BK28" i="71"/>
  <c r="AU28" i="71"/>
  <c r="CW28" i="71"/>
  <c r="BI28" i="71"/>
  <c r="AS28" i="71"/>
  <c r="CS28" i="71"/>
  <c r="AO28" i="71"/>
  <c r="BY28" i="71"/>
  <c r="AM28" i="71"/>
  <c r="CO28" i="71"/>
  <c r="BU28" i="71"/>
  <c r="AK28" i="71"/>
  <c r="AG28" i="71"/>
  <c r="BS28" i="71"/>
  <c r="BQ28" i="71"/>
  <c r="BB27" i="69"/>
  <c r="BA27" i="69"/>
  <c r="N27" i="69" s="1"/>
  <c r="CS28" i="69"/>
  <c r="BU28" i="69"/>
  <c r="BM28" i="69"/>
  <c r="AW28" i="69"/>
  <c r="AO28" i="69"/>
  <c r="AG28" i="69"/>
  <c r="CH28" i="69"/>
  <c r="BZ28" i="69"/>
  <c r="BH28" i="69"/>
  <c r="AZ28" i="69"/>
  <c r="AQ28" i="69"/>
  <c r="AH28" i="69"/>
  <c r="BY28" i="69"/>
  <c r="BP28" i="69"/>
  <c r="AY28" i="69"/>
  <c r="AP28" i="69"/>
  <c r="CO28" i="69"/>
  <c r="BX28" i="69"/>
  <c r="BO28" i="69"/>
  <c r="AX28" i="69"/>
  <c r="AN28" i="69"/>
  <c r="CW28" i="69"/>
  <c r="CE28" i="69"/>
  <c r="BW28" i="69"/>
  <c r="BN28" i="69"/>
  <c r="AV28" i="69"/>
  <c r="AM28" i="69"/>
  <c r="D28" i="69"/>
  <c r="CV28" i="69"/>
  <c r="BV28" i="69"/>
  <c r="AU28" i="69"/>
  <c r="AL28" i="69"/>
  <c r="CU28" i="69"/>
  <c r="BT28" i="69"/>
  <c r="BK28" i="69"/>
  <c r="AT28" i="69"/>
  <c r="AK28" i="69"/>
  <c r="CT28" i="69"/>
  <c r="BS28" i="69"/>
  <c r="BJ28" i="69"/>
  <c r="AS28" i="69"/>
  <c r="AJ28" i="69"/>
  <c r="AR28" i="69"/>
  <c r="BR28" i="69"/>
  <c r="AI28" i="69"/>
  <c r="BI28" i="69"/>
  <c r="CR28" i="69"/>
  <c r="B29" i="69"/>
  <c r="AD23" i="23" s="1"/>
  <c r="G23" i="25" s="1"/>
  <c r="A30" i="69"/>
  <c r="AC24" i="23" s="1"/>
  <c r="F24" i="25" s="1"/>
  <c r="CA27" i="69"/>
  <c r="O27" i="69" s="1"/>
  <c r="BB27" i="68"/>
  <c r="BA27" i="68"/>
  <c r="N27" i="68" s="1"/>
  <c r="CA27" i="68"/>
  <c r="O27" i="68" s="1"/>
  <c r="A30" i="68"/>
  <c r="Y24" i="23" s="1"/>
  <c r="A24" i="25" s="1"/>
  <c r="B29" i="68"/>
  <c r="Z23" i="23" s="1"/>
  <c r="B23" i="25" s="1"/>
  <c r="CP28" i="68"/>
  <c r="CH28" i="68"/>
  <c r="BZ28" i="68"/>
  <c r="BR28" i="68"/>
  <c r="BJ28" i="68"/>
  <c r="AT28" i="68"/>
  <c r="AL28" i="68"/>
  <c r="CW28" i="68"/>
  <c r="CO28" i="68"/>
  <c r="BY28" i="68"/>
  <c r="BI28" i="68"/>
  <c r="AS28" i="68"/>
  <c r="AK28" i="68"/>
  <c r="D28" i="68"/>
  <c r="AB22" i="23" s="1"/>
  <c r="E22" i="25" s="1"/>
  <c r="CV28" i="68"/>
  <c r="CF28" i="68"/>
  <c r="BX28" i="68"/>
  <c r="BP28" i="68"/>
  <c r="BH28" i="68"/>
  <c r="AZ28" i="68"/>
  <c r="AR28" i="68"/>
  <c r="AJ28" i="68"/>
  <c r="CU28" i="68"/>
  <c r="BW28" i="68"/>
  <c r="BO28" i="68"/>
  <c r="AY28" i="68"/>
  <c r="AQ28" i="68"/>
  <c r="AI28" i="68"/>
  <c r="BU28" i="68"/>
  <c r="AO28" i="68"/>
  <c r="BT28" i="68"/>
  <c r="AN28" i="68"/>
  <c r="BS28" i="68"/>
  <c r="AM28" i="68"/>
  <c r="CT28" i="68"/>
  <c r="BN28" i="68"/>
  <c r="AX28" i="68"/>
  <c r="AH28" i="68"/>
  <c r="CS28" i="68"/>
  <c r="BM28" i="68"/>
  <c r="AW28" i="68"/>
  <c r="AG28" i="68"/>
  <c r="CR28" i="68"/>
  <c r="AV28" i="68"/>
  <c r="BK28" i="68"/>
  <c r="AU28" i="68"/>
  <c r="BV28" i="68"/>
  <c r="AP28" i="68"/>
  <c r="BB27" i="65"/>
  <c r="BA27" i="65"/>
  <c r="N27" i="65" s="1"/>
  <c r="CA27" i="65"/>
  <c r="O27" i="65" s="1"/>
  <c r="CR28" i="65"/>
  <c r="BT28" i="65"/>
  <c r="BL28" i="65"/>
  <c r="AV28" i="65"/>
  <c r="AN28" i="65"/>
  <c r="BS28" i="65"/>
  <c r="BK28" i="65"/>
  <c r="AU28" i="65"/>
  <c r="AM28" i="65"/>
  <c r="CW28" i="65"/>
  <c r="BR28" i="65"/>
  <c r="BH28" i="65"/>
  <c r="AZ28" i="65"/>
  <c r="AP28" i="65"/>
  <c r="CV28" i="65"/>
  <c r="BQ28" i="65"/>
  <c r="BG28" i="65"/>
  <c r="AY28" i="65"/>
  <c r="AO28" i="65"/>
  <c r="D28" i="65"/>
  <c r="P22" i="23" s="1"/>
  <c r="T22" i="24" s="1"/>
  <c r="CU28" i="65"/>
  <c r="BX28" i="65"/>
  <c r="BJ28" i="65"/>
  <c r="AX28" i="65"/>
  <c r="AJ28" i="65"/>
  <c r="CT28" i="65"/>
  <c r="CF28" i="65"/>
  <c r="BW28" i="65"/>
  <c r="BI28" i="65"/>
  <c r="AW28" i="65"/>
  <c r="AI28" i="65"/>
  <c r="CS28" i="65"/>
  <c r="CE28" i="65"/>
  <c r="BV28" i="65"/>
  <c r="AT28" i="65"/>
  <c r="AH28" i="65"/>
  <c r="CP28" i="65"/>
  <c r="BU28" i="65"/>
  <c r="AS28" i="65"/>
  <c r="AG28" i="65"/>
  <c r="CO28" i="65"/>
  <c r="BP28" i="65"/>
  <c r="AR28" i="65"/>
  <c r="CN28" i="65"/>
  <c r="BO28" i="65"/>
  <c r="AQ28" i="65"/>
  <c r="BZ28" i="65"/>
  <c r="BN28" i="65"/>
  <c r="AL28" i="65"/>
  <c r="CH28" i="65"/>
  <c r="BY28" i="65"/>
  <c r="BM28" i="65"/>
  <c r="AK28" i="65"/>
  <c r="A30" i="65"/>
  <c r="M24" i="23" s="1"/>
  <c r="P24" i="24" s="1"/>
  <c r="B29" i="65"/>
  <c r="N23" i="23" s="1"/>
  <c r="Q23" i="24" s="1"/>
  <c r="CA27" i="64"/>
  <c r="O27" i="64" s="1"/>
  <c r="A30" i="64"/>
  <c r="I24" i="23" s="1"/>
  <c r="K24" i="24" s="1"/>
  <c r="B29" i="64"/>
  <c r="J23" i="23" s="1"/>
  <c r="L23" i="24" s="1"/>
  <c r="BS28" i="64"/>
  <c r="CO28" i="64"/>
  <c r="CF28" i="64"/>
  <c r="BW28" i="64"/>
  <c r="BN28" i="64"/>
  <c r="AX28" i="64"/>
  <c r="AP28" i="64"/>
  <c r="AH28" i="64"/>
  <c r="CW28" i="64"/>
  <c r="CN28" i="64"/>
  <c r="CE28" i="64"/>
  <c r="BV28" i="64"/>
  <c r="BM28" i="64"/>
  <c r="AW28" i="64"/>
  <c r="AO28" i="64"/>
  <c r="AG28" i="64"/>
  <c r="CV28" i="64"/>
  <c r="CD28" i="64"/>
  <c r="BU28" i="64"/>
  <c r="BL28" i="64"/>
  <c r="AV28" i="64"/>
  <c r="AN28" i="64"/>
  <c r="CU28" i="64"/>
  <c r="BT28" i="64"/>
  <c r="BK28" i="64"/>
  <c r="AU28" i="64"/>
  <c r="AM28" i="64"/>
  <c r="CT28" i="64"/>
  <c r="BR28" i="64"/>
  <c r="BJ28" i="64"/>
  <c r="AT28" i="64"/>
  <c r="AL28" i="64"/>
  <c r="CS28" i="64"/>
  <c r="BZ28" i="64"/>
  <c r="BQ28" i="64"/>
  <c r="BI28" i="64"/>
  <c r="AS28" i="64"/>
  <c r="AK28" i="64"/>
  <c r="D28" i="64"/>
  <c r="L22" i="23" s="1"/>
  <c r="O22" i="24" s="1"/>
  <c r="CR28" i="64"/>
  <c r="CH28" i="64"/>
  <c r="BY28" i="64"/>
  <c r="BP28" i="64"/>
  <c r="BH28" i="64"/>
  <c r="AZ28" i="64"/>
  <c r="AR28" i="64"/>
  <c r="AJ28" i="64"/>
  <c r="CP28" i="64"/>
  <c r="BX28" i="64"/>
  <c r="BO28" i="64"/>
  <c r="BG28" i="64"/>
  <c r="AY28" i="64"/>
  <c r="AQ28" i="64"/>
  <c r="AI28" i="64"/>
  <c r="Q26" i="64"/>
  <c r="BB27" i="64"/>
  <c r="BA27" i="64"/>
  <c r="N27" i="64" s="1"/>
  <c r="B29" i="63"/>
  <c r="F23" i="23" s="1"/>
  <c r="G23" i="24" s="1"/>
  <c r="A30" i="63"/>
  <c r="E24" i="23" s="1"/>
  <c r="F24" i="24" s="1"/>
  <c r="BB27" i="63"/>
  <c r="BA27" i="63"/>
  <c r="N27" i="63" s="1"/>
  <c r="CS28" i="63"/>
  <c r="BU28" i="63"/>
  <c r="BM28" i="63"/>
  <c r="AW28" i="63"/>
  <c r="AO28" i="63"/>
  <c r="CP28" i="63"/>
  <c r="BY28" i="63"/>
  <c r="BP28" i="63"/>
  <c r="BG28" i="63"/>
  <c r="AY28" i="63"/>
  <c r="AP28" i="63"/>
  <c r="AG28" i="63"/>
  <c r="CO28" i="63"/>
  <c r="BX28" i="63"/>
  <c r="BO28" i="63"/>
  <c r="AX28" i="63"/>
  <c r="AN28" i="63"/>
  <c r="CU28" i="63"/>
  <c r="BW28" i="63"/>
  <c r="BK28" i="63"/>
  <c r="AQ28" i="63"/>
  <c r="D28" i="63"/>
  <c r="H22" i="23" s="1"/>
  <c r="J22" i="24" s="1"/>
  <c r="CT28" i="63"/>
  <c r="CH28" i="63"/>
  <c r="BV28" i="63"/>
  <c r="BJ28" i="63"/>
  <c r="AM28" i="63"/>
  <c r="CR28" i="63"/>
  <c r="BT28" i="63"/>
  <c r="BI28" i="63"/>
  <c r="AZ28" i="63"/>
  <c r="AL28" i="63"/>
  <c r="CD28" i="63"/>
  <c r="BS28" i="63"/>
  <c r="AV28" i="63"/>
  <c r="AK28" i="63"/>
  <c r="CN28" i="63"/>
  <c r="BR28" i="63"/>
  <c r="AU28" i="63"/>
  <c r="AJ28" i="63"/>
  <c r="BQ28" i="63"/>
  <c r="AT28" i="63"/>
  <c r="AI28" i="63"/>
  <c r="CW28" i="63"/>
  <c r="BN28" i="63"/>
  <c r="AS28" i="63"/>
  <c r="AH28" i="63"/>
  <c r="CV28" i="63"/>
  <c r="BZ28" i="63"/>
  <c r="BL28" i="63"/>
  <c r="AR28" i="63"/>
  <c r="BB27" i="70" l="1"/>
  <c r="BA27" i="70"/>
  <c r="N27" i="70" s="1"/>
  <c r="Y27" i="70" s="1"/>
  <c r="Y39" i="70" s="1"/>
  <c r="AG23" i="23"/>
  <c r="K23" i="25" s="1"/>
  <c r="B29" i="70"/>
  <c r="A30" i="70"/>
  <c r="O21" i="25"/>
  <c r="AJ21" i="23"/>
  <c r="AH22" i="23"/>
  <c r="L22" i="25" s="1"/>
  <c r="CL28" i="70"/>
  <c r="AP28" i="70"/>
  <c r="AW28" i="70"/>
  <c r="BX28" i="70"/>
  <c r="AI28" i="70"/>
  <c r="BI28" i="70"/>
  <c r="CW28" i="70"/>
  <c r="CM28" i="70"/>
  <c r="AH28" i="70"/>
  <c r="AL28" i="70"/>
  <c r="BM28" i="70"/>
  <c r="CP28" i="70"/>
  <c r="AQ28" i="70"/>
  <c r="BG28" i="70"/>
  <c r="CN28" i="70"/>
  <c r="CQ28" i="70"/>
  <c r="BS28" i="70"/>
  <c r="CU28" i="70"/>
  <c r="AT28" i="70"/>
  <c r="CF28" i="70"/>
  <c r="BR28" i="70"/>
  <c r="AN28" i="70"/>
  <c r="D28" i="70"/>
  <c r="CT28" i="70"/>
  <c r="BK28" i="70"/>
  <c r="BO28" i="70"/>
  <c r="AJ28" i="70"/>
  <c r="BU28" i="70"/>
  <c r="AZ28" i="70"/>
  <c r="CD28" i="70"/>
  <c r="AU28" i="70"/>
  <c r="AV28" i="70"/>
  <c r="CR28" i="70"/>
  <c r="AR28" i="70"/>
  <c r="BQ28" i="70"/>
  <c r="CI28" i="70"/>
  <c r="BV28" i="70"/>
  <c r="AM28" i="70"/>
  <c r="AK28" i="70"/>
  <c r="BW28" i="70"/>
  <c r="AG28" i="70"/>
  <c r="AY28" i="70"/>
  <c r="CJ28" i="70"/>
  <c r="BN28" i="70"/>
  <c r="BZ28" i="70"/>
  <c r="CS28" i="70"/>
  <c r="BL28" i="70"/>
  <c r="CO28" i="70"/>
  <c r="BH28" i="70"/>
  <c r="CK28" i="70"/>
  <c r="AX28" i="70"/>
  <c r="BP28" i="70"/>
  <c r="CH28" i="70"/>
  <c r="AS28" i="70"/>
  <c r="CE28" i="70"/>
  <c r="AO28" i="70"/>
  <c r="BA27" i="67"/>
  <c r="N27" i="67" s="1"/>
  <c r="Y26" i="67" s="1"/>
  <c r="Y40" i="67" s="1"/>
  <c r="BB27" i="67"/>
  <c r="AV22" i="23"/>
  <c r="AD22" i="25"/>
  <c r="J22" i="25"/>
  <c r="AF22" i="23"/>
  <c r="AN22" i="23"/>
  <c r="T22" i="25"/>
  <c r="AR21" i="23"/>
  <c r="Y21" i="25"/>
  <c r="V22" i="23"/>
  <c r="AA22" i="24" s="1"/>
  <c r="CI28" i="67"/>
  <c r="AV28" i="67"/>
  <c r="BQ28" i="67"/>
  <c r="BX28" i="67"/>
  <c r="CV28" i="67"/>
  <c r="AR28" i="67"/>
  <c r="BN28" i="67"/>
  <c r="AP28" i="67"/>
  <c r="AH28" i="67"/>
  <c r="CL28" i="67"/>
  <c r="CS28" i="67"/>
  <c r="AN28" i="67"/>
  <c r="BI28" i="67"/>
  <c r="BH28" i="67"/>
  <c r="CF28" i="67"/>
  <c r="CT28" i="67"/>
  <c r="AL28" i="67"/>
  <c r="BZ28" i="67"/>
  <c r="CP28" i="67"/>
  <c r="CM28" i="67"/>
  <c r="BM28" i="67"/>
  <c r="BS28" i="67"/>
  <c r="AS28" i="67"/>
  <c r="AY28" i="67"/>
  <c r="BV28" i="67"/>
  <c r="CD28" i="67"/>
  <c r="BW28" i="67"/>
  <c r="CU28" i="67"/>
  <c r="AX28" i="67"/>
  <c r="BY28" i="67"/>
  <c r="CG28" i="67"/>
  <c r="AW28" i="67"/>
  <c r="AU28" i="67"/>
  <c r="AK28" i="67"/>
  <c r="AI28" i="67"/>
  <c r="AT28" i="67"/>
  <c r="AQ28" i="67"/>
  <c r="AM28" i="67"/>
  <c r="BO28" i="67"/>
  <c r="AZ28" i="67"/>
  <c r="BR28" i="67"/>
  <c r="CQ28" i="67"/>
  <c r="AO28" i="67"/>
  <c r="D28" i="67"/>
  <c r="X22" i="23" s="1"/>
  <c r="AD22" i="24" s="1"/>
  <c r="BT28" i="67"/>
  <c r="BL28" i="67"/>
  <c r="CJ28" i="67"/>
  <c r="AG28" i="67"/>
  <c r="CW28" i="67"/>
  <c r="BJ28" i="67"/>
  <c r="BG28" i="67"/>
  <c r="CO28" i="67"/>
  <c r="CE28" i="67"/>
  <c r="AJ28" i="67"/>
  <c r="CK28" i="67"/>
  <c r="CN28" i="67"/>
  <c r="U23" i="23"/>
  <c r="Z23" i="24" s="1"/>
  <c r="B29" i="67"/>
  <c r="A30" i="67"/>
  <c r="BB27" i="66"/>
  <c r="BA27" i="66"/>
  <c r="N27" i="66" s="1"/>
  <c r="Q23" i="23"/>
  <c r="U23" i="24" s="1"/>
  <c r="A30" i="66"/>
  <c r="B29" i="66"/>
  <c r="R22" i="23"/>
  <c r="V22" i="24" s="1"/>
  <c r="CI28" i="66"/>
  <c r="CW28" i="66"/>
  <c r="CN28" i="66"/>
  <c r="BR28" i="66"/>
  <c r="CT28" i="66"/>
  <c r="AI28" i="66"/>
  <c r="BK28" i="66"/>
  <c r="AX28" i="66"/>
  <c r="BL28" i="66"/>
  <c r="CK28" i="66"/>
  <c r="CO28" i="66"/>
  <c r="BX28" i="66"/>
  <c r="AV28" i="66"/>
  <c r="BZ28" i="66"/>
  <c r="CR28" i="66"/>
  <c r="AY28" i="66"/>
  <c r="AO28" i="66"/>
  <c r="CP28" i="66"/>
  <c r="CL28" i="66"/>
  <c r="BY28" i="66"/>
  <c r="BP28" i="66"/>
  <c r="AM28" i="66"/>
  <c r="BN28" i="66"/>
  <c r="CH28" i="66"/>
  <c r="AP28" i="66"/>
  <c r="CQ28" i="66"/>
  <c r="BQ28" i="66"/>
  <c r="AZ28" i="66"/>
  <c r="CU28" i="66"/>
  <c r="AT28" i="66"/>
  <c r="BV28" i="66"/>
  <c r="AG28" i="66"/>
  <c r="CM28" i="66"/>
  <c r="BI28" i="66"/>
  <c r="BS28" i="66"/>
  <c r="BO28" i="66"/>
  <c r="AJ28" i="66"/>
  <c r="CG28" i="66"/>
  <c r="AS28" i="66"/>
  <c r="BG28" i="66"/>
  <c r="AU28" i="66"/>
  <c r="CS28" i="66"/>
  <c r="AQ28" i="66"/>
  <c r="CD28" i="66"/>
  <c r="CJ28" i="66"/>
  <c r="AK28" i="66"/>
  <c r="AW28" i="66"/>
  <c r="AL28" i="66"/>
  <c r="BW28" i="66"/>
  <c r="AH28" i="66"/>
  <c r="BT28" i="66"/>
  <c r="CV28" i="66"/>
  <c r="AN28" i="66"/>
  <c r="D28" i="66"/>
  <c r="T22" i="23" s="1"/>
  <c r="Y22" i="24" s="1"/>
  <c r="AR28" i="66"/>
  <c r="BU28" i="66"/>
  <c r="BJ28" i="66"/>
  <c r="CQ28" i="72"/>
  <c r="CI28" i="72"/>
  <c r="CJ28" i="72"/>
  <c r="CK28" i="72"/>
  <c r="CL28" i="72"/>
  <c r="CM28" i="72"/>
  <c r="CK29" i="73"/>
  <c r="CL29" i="73"/>
  <c r="CM29" i="73"/>
  <c r="CG29" i="73"/>
  <c r="CI29" i="73"/>
  <c r="CQ29" i="73"/>
  <c r="CJ29" i="73"/>
  <c r="CI29" i="71"/>
  <c r="CQ29" i="71"/>
  <c r="CL29" i="71"/>
  <c r="CM29" i="71"/>
  <c r="CG29" i="71"/>
  <c r="CJ29" i="71"/>
  <c r="CK29" i="71"/>
  <c r="CI29" i="68"/>
  <c r="CL29" i="68"/>
  <c r="CM29" i="68"/>
  <c r="CG29" i="68"/>
  <c r="CQ29" i="68"/>
  <c r="CJ29" i="68"/>
  <c r="CI29" i="69"/>
  <c r="CJ29" i="69"/>
  <c r="CK29" i="69"/>
  <c r="CL29" i="69"/>
  <c r="CM29" i="69"/>
  <c r="CI29" i="65"/>
  <c r="CG29" i="65"/>
  <c r="CQ29" i="65"/>
  <c r="CK29" i="65"/>
  <c r="CL29" i="65"/>
  <c r="CM29" i="65"/>
  <c r="Q27" i="64"/>
  <c r="CI29" i="64"/>
  <c r="CJ29" i="64"/>
  <c r="CK29" i="64"/>
  <c r="CL29" i="64"/>
  <c r="CG29" i="64"/>
  <c r="CM29" i="64"/>
  <c r="CQ29" i="64"/>
  <c r="CI29" i="63"/>
  <c r="CJ29" i="63"/>
  <c r="CK29" i="63"/>
  <c r="CL29" i="63"/>
  <c r="CM29" i="63"/>
  <c r="CQ29" i="63"/>
  <c r="CX28" i="64"/>
  <c r="P28" i="64" s="1"/>
  <c r="CX28" i="71"/>
  <c r="P28" i="71" s="1"/>
  <c r="CX28" i="73"/>
  <c r="P28" i="73" s="1"/>
  <c r="Q27" i="65"/>
  <c r="Q27" i="73"/>
  <c r="CA28" i="73"/>
  <c r="O28" i="73" s="1"/>
  <c r="B30" i="73"/>
  <c r="AT24" i="23" s="1"/>
  <c r="AA24" i="25" s="1"/>
  <c r="A31" i="73"/>
  <c r="AS25" i="23" s="1"/>
  <c r="Z25" i="25" s="1"/>
  <c r="BS29" i="73"/>
  <c r="BK29" i="73"/>
  <c r="AU29" i="73"/>
  <c r="AM29" i="73"/>
  <c r="CP29" i="73"/>
  <c r="CH29" i="73"/>
  <c r="BZ29" i="73"/>
  <c r="BR29" i="73"/>
  <c r="BJ29" i="73"/>
  <c r="AT29" i="73"/>
  <c r="AL29" i="73"/>
  <c r="CW29" i="73"/>
  <c r="BQ29" i="73"/>
  <c r="BG29" i="73"/>
  <c r="AX29" i="73"/>
  <c r="AN29" i="73"/>
  <c r="CV29" i="73"/>
  <c r="BP29" i="73"/>
  <c r="AW29" i="73"/>
  <c r="AK29" i="73"/>
  <c r="CU29" i="73"/>
  <c r="BY29" i="73"/>
  <c r="BO29" i="73"/>
  <c r="AV29" i="73"/>
  <c r="AJ29" i="73"/>
  <c r="CT29" i="73"/>
  <c r="BX29" i="73"/>
  <c r="BN29" i="73"/>
  <c r="AS29" i="73"/>
  <c r="AI29" i="73"/>
  <c r="CS29" i="73"/>
  <c r="BW29" i="73"/>
  <c r="BM29" i="73"/>
  <c r="AR29" i="73"/>
  <c r="AH29" i="73"/>
  <c r="CR29" i="73"/>
  <c r="CF29" i="73"/>
  <c r="BV29" i="73"/>
  <c r="BL29" i="73"/>
  <c r="AQ29" i="73"/>
  <c r="AG29" i="73"/>
  <c r="CO29" i="73"/>
  <c r="CE29" i="73"/>
  <c r="BU29" i="73"/>
  <c r="BI29" i="73"/>
  <c r="AZ29" i="73"/>
  <c r="AP29" i="73"/>
  <c r="CN29" i="73"/>
  <c r="CD29" i="73"/>
  <c r="BT29" i="73"/>
  <c r="BH29" i="73"/>
  <c r="AY29" i="73"/>
  <c r="AO29" i="73"/>
  <c r="D29" i="73"/>
  <c r="BB28" i="73"/>
  <c r="BA28" i="73"/>
  <c r="N28" i="73" s="1"/>
  <c r="CU28" i="72"/>
  <c r="BO28" i="72"/>
  <c r="BG28" i="72"/>
  <c r="AY28" i="72"/>
  <c r="AQ28" i="72"/>
  <c r="AI28" i="72"/>
  <c r="CS28" i="72"/>
  <c r="BU28" i="72"/>
  <c r="BM28" i="72"/>
  <c r="AW28" i="72"/>
  <c r="CR28" i="72"/>
  <c r="BT28" i="72"/>
  <c r="BL28" i="72"/>
  <c r="AV28" i="72"/>
  <c r="AN28" i="72"/>
  <c r="CP28" i="72"/>
  <c r="BQ28" i="72"/>
  <c r="AT28" i="72"/>
  <c r="AJ28" i="72"/>
  <c r="CO28" i="72"/>
  <c r="BP28" i="72"/>
  <c r="AS28" i="72"/>
  <c r="AH28" i="72"/>
  <c r="CN28" i="72"/>
  <c r="BZ28" i="72"/>
  <c r="BN28" i="72"/>
  <c r="AR28" i="72"/>
  <c r="AG28" i="72"/>
  <c r="BY28" i="72"/>
  <c r="BK28" i="72"/>
  <c r="AP28" i="72"/>
  <c r="CH28" i="72"/>
  <c r="BX28" i="72"/>
  <c r="BJ28" i="72"/>
  <c r="AO28" i="72"/>
  <c r="CW28" i="72"/>
  <c r="BV28" i="72"/>
  <c r="BI28" i="72"/>
  <c r="AZ28" i="72"/>
  <c r="AM28" i="72"/>
  <c r="D28" i="72"/>
  <c r="CF28" i="72"/>
  <c r="BS28" i="72"/>
  <c r="AX28" i="72"/>
  <c r="AL28" i="72"/>
  <c r="CD28" i="72"/>
  <c r="BR28" i="72"/>
  <c r="AU28" i="72"/>
  <c r="AK28" i="72"/>
  <c r="B29" i="72"/>
  <c r="AP23" i="23" s="1"/>
  <c r="V23" i="25" s="1"/>
  <c r="A30" i="72"/>
  <c r="AO24" i="23" s="1"/>
  <c r="U24" i="25" s="1"/>
  <c r="BB27" i="72"/>
  <c r="BA27" i="72"/>
  <c r="N27" i="72" s="1"/>
  <c r="BB28" i="71"/>
  <c r="BA28" i="71"/>
  <c r="N28" i="71" s="1"/>
  <c r="BS29" i="71"/>
  <c r="BK29" i="71"/>
  <c r="AU29" i="71"/>
  <c r="AM29" i="71"/>
  <c r="CP29" i="71"/>
  <c r="CH29" i="71"/>
  <c r="BZ29" i="71"/>
  <c r="BR29" i="71"/>
  <c r="BJ29" i="71"/>
  <c r="AT29" i="71"/>
  <c r="AL29" i="71"/>
  <c r="CW29" i="71"/>
  <c r="BY29" i="71"/>
  <c r="BQ29" i="71"/>
  <c r="BI29" i="71"/>
  <c r="AS29" i="71"/>
  <c r="AK29" i="71"/>
  <c r="D29" i="71"/>
  <c r="CU29" i="71"/>
  <c r="BW29" i="71"/>
  <c r="BO29" i="71"/>
  <c r="BG29" i="71"/>
  <c r="AY29" i="71"/>
  <c r="AQ29" i="71"/>
  <c r="AI29" i="71"/>
  <c r="CS29" i="71"/>
  <c r="BU29" i="71"/>
  <c r="BM29" i="71"/>
  <c r="AW29" i="71"/>
  <c r="AO29" i="71"/>
  <c r="AG29" i="71"/>
  <c r="CF29" i="71"/>
  <c r="BN29" i="71"/>
  <c r="AX29" i="71"/>
  <c r="CD29" i="71"/>
  <c r="BL29" i="71"/>
  <c r="AV29" i="71"/>
  <c r="CV29" i="71"/>
  <c r="BH29" i="71"/>
  <c r="AR29" i="71"/>
  <c r="CT29" i="71"/>
  <c r="AP29" i="71"/>
  <c r="CR29" i="71"/>
  <c r="BX29" i="71"/>
  <c r="AN29" i="71"/>
  <c r="CN29" i="71"/>
  <c r="BV29" i="71"/>
  <c r="AJ29" i="71"/>
  <c r="BP29" i="71"/>
  <c r="AZ29" i="71"/>
  <c r="AH29" i="71"/>
  <c r="BT29" i="71"/>
  <c r="CA28" i="71"/>
  <c r="O28" i="71" s="1"/>
  <c r="A31" i="71"/>
  <c r="AK25" i="23" s="1"/>
  <c r="P25" i="25" s="1"/>
  <c r="B30" i="71"/>
  <c r="AL24" i="23" s="1"/>
  <c r="Q24" i="25" s="1"/>
  <c r="A31" i="69"/>
  <c r="AC25" i="23" s="1"/>
  <c r="F25" i="25" s="1"/>
  <c r="B30" i="69"/>
  <c r="AD24" i="23" s="1"/>
  <c r="G24" i="25" s="1"/>
  <c r="CV29" i="69"/>
  <c r="CN29" i="69"/>
  <c r="CF29" i="69"/>
  <c r="BX29" i="69"/>
  <c r="BP29" i="69"/>
  <c r="AZ29" i="69"/>
  <c r="AR29" i="69"/>
  <c r="AJ29" i="69"/>
  <c r="CU29" i="69"/>
  <c r="BW29" i="69"/>
  <c r="BO29" i="69"/>
  <c r="BG29" i="69"/>
  <c r="AY29" i="69"/>
  <c r="AQ29" i="69"/>
  <c r="AI29" i="69"/>
  <c r="AV29" i="69"/>
  <c r="AL29" i="69"/>
  <c r="CW29" i="69"/>
  <c r="BQ29" i="69"/>
  <c r="AU29" i="69"/>
  <c r="AK29" i="69"/>
  <c r="CT29" i="69"/>
  <c r="BZ29" i="69"/>
  <c r="BN29" i="69"/>
  <c r="AT29" i="69"/>
  <c r="AH29" i="69"/>
  <c r="CS29" i="69"/>
  <c r="BY29" i="69"/>
  <c r="AS29" i="69"/>
  <c r="AG29" i="69"/>
  <c r="CR29" i="69"/>
  <c r="CH29" i="69"/>
  <c r="BV29" i="69"/>
  <c r="BL29" i="69"/>
  <c r="AP29" i="69"/>
  <c r="BU29" i="69"/>
  <c r="BK29" i="69"/>
  <c r="AO29" i="69"/>
  <c r="CP29" i="69"/>
  <c r="CD29" i="69"/>
  <c r="BT29" i="69"/>
  <c r="BJ29" i="69"/>
  <c r="AX29" i="69"/>
  <c r="AN29" i="69"/>
  <c r="AW29" i="69"/>
  <c r="AM29" i="69"/>
  <c r="D29" i="69"/>
  <c r="BS29" i="69"/>
  <c r="BI29" i="69"/>
  <c r="BB28" i="69"/>
  <c r="BA28" i="69"/>
  <c r="N28" i="69" s="1"/>
  <c r="BB28" i="68"/>
  <c r="BA28" i="68"/>
  <c r="N28" i="68" s="1"/>
  <c r="CS29" i="68"/>
  <c r="BU29" i="68"/>
  <c r="AW29" i="68"/>
  <c r="AO29" i="68"/>
  <c r="AG29" i="68"/>
  <c r="CR29" i="68"/>
  <c r="BT29" i="68"/>
  <c r="BL29" i="68"/>
  <c r="AV29" i="68"/>
  <c r="AN29" i="68"/>
  <c r="BS29" i="68"/>
  <c r="BK29" i="68"/>
  <c r="AU29" i="68"/>
  <c r="AM29" i="68"/>
  <c r="CP29" i="68"/>
  <c r="CH29" i="68"/>
  <c r="BZ29" i="68"/>
  <c r="BJ29" i="68"/>
  <c r="AT29" i="68"/>
  <c r="AL29" i="68"/>
  <c r="CU29" i="68"/>
  <c r="BQ29" i="68"/>
  <c r="AR29" i="68"/>
  <c r="CT29" i="68"/>
  <c r="CD29" i="68"/>
  <c r="BP29" i="68"/>
  <c r="AQ29" i="68"/>
  <c r="BO29" i="68"/>
  <c r="AP29" i="68"/>
  <c r="CN29" i="68"/>
  <c r="BN29" i="68"/>
  <c r="AK29" i="68"/>
  <c r="BY29" i="68"/>
  <c r="BI29" i="68"/>
  <c r="AZ29" i="68"/>
  <c r="AJ29" i="68"/>
  <c r="BX29" i="68"/>
  <c r="AY29" i="68"/>
  <c r="AI29" i="68"/>
  <c r="CW29" i="68"/>
  <c r="BW29" i="68"/>
  <c r="BG29" i="68"/>
  <c r="AX29" i="68"/>
  <c r="AH29" i="68"/>
  <c r="D29" i="68"/>
  <c r="AB23" i="23" s="1"/>
  <c r="E23" i="25" s="1"/>
  <c r="CV29" i="68"/>
  <c r="BV29" i="68"/>
  <c r="AS29" i="68"/>
  <c r="B30" i="68"/>
  <c r="Z24" i="23" s="1"/>
  <c r="B24" i="25" s="1"/>
  <c r="A31" i="68"/>
  <c r="Y25" i="23" s="1"/>
  <c r="A25" i="25" s="1"/>
  <c r="BB28" i="65"/>
  <c r="BA28" i="65"/>
  <c r="N28" i="65" s="1"/>
  <c r="CA28" i="65"/>
  <c r="O28" i="65" s="1"/>
  <c r="CU29" i="65"/>
  <c r="BW29" i="65"/>
  <c r="BO29" i="65"/>
  <c r="AY29" i="65"/>
  <c r="AQ29" i="65"/>
  <c r="AI29" i="65"/>
  <c r="CT29" i="65"/>
  <c r="BV29" i="65"/>
  <c r="BN29" i="65"/>
  <c r="AX29" i="65"/>
  <c r="AP29" i="65"/>
  <c r="AH29" i="65"/>
  <c r="CS29" i="65"/>
  <c r="BY29" i="65"/>
  <c r="BM29" i="65"/>
  <c r="AT29" i="65"/>
  <c r="AJ29" i="65"/>
  <c r="CR29" i="65"/>
  <c r="CH29" i="65"/>
  <c r="BX29" i="65"/>
  <c r="AS29" i="65"/>
  <c r="AG29" i="65"/>
  <c r="BU29" i="65"/>
  <c r="BK29" i="65"/>
  <c r="AR29" i="65"/>
  <c r="CP29" i="65"/>
  <c r="CF29" i="65"/>
  <c r="BT29" i="65"/>
  <c r="BJ29" i="65"/>
  <c r="AO29" i="65"/>
  <c r="CW29" i="65"/>
  <c r="AN29" i="65"/>
  <c r="CV29" i="65"/>
  <c r="BZ29" i="65"/>
  <c r="AM29" i="65"/>
  <c r="CO29" i="65"/>
  <c r="BS29" i="65"/>
  <c r="AL29" i="65"/>
  <c r="CN29" i="65"/>
  <c r="BR29" i="65"/>
  <c r="AK29" i="65"/>
  <c r="BQ29" i="65"/>
  <c r="AZ29" i="65"/>
  <c r="BP29" i="65"/>
  <c r="AW29" i="65"/>
  <c r="D29" i="65"/>
  <c r="P23" i="23" s="1"/>
  <c r="T23" i="24" s="1"/>
  <c r="BI29" i="65"/>
  <c r="AV29" i="65"/>
  <c r="BH29" i="65"/>
  <c r="AU29" i="65"/>
  <c r="B30" i="65"/>
  <c r="N24" i="23" s="1"/>
  <c r="Q24" i="24" s="1"/>
  <c r="A31" i="65"/>
  <c r="M25" i="23" s="1"/>
  <c r="P25" i="24" s="1"/>
  <c r="BB28" i="64"/>
  <c r="BA28" i="64"/>
  <c r="N28" i="64" s="1"/>
  <c r="CT29" i="64"/>
  <c r="CD29" i="64"/>
  <c r="BV29" i="64"/>
  <c r="BN29" i="64"/>
  <c r="AX29" i="64"/>
  <c r="AP29" i="64"/>
  <c r="AH29" i="64"/>
  <c r="CS29" i="64"/>
  <c r="BR29" i="64"/>
  <c r="BI29" i="64"/>
  <c r="AR29" i="64"/>
  <c r="AI29" i="64"/>
  <c r="CR29" i="64"/>
  <c r="BZ29" i="64"/>
  <c r="BQ29" i="64"/>
  <c r="BH29" i="64"/>
  <c r="AZ29" i="64"/>
  <c r="AQ29" i="64"/>
  <c r="AG29" i="64"/>
  <c r="CH29" i="64"/>
  <c r="BY29" i="64"/>
  <c r="BP29" i="64"/>
  <c r="BG29" i="64"/>
  <c r="AY29" i="64"/>
  <c r="AO29" i="64"/>
  <c r="CP29" i="64"/>
  <c r="BX29" i="64"/>
  <c r="BO29" i="64"/>
  <c r="AW29" i="64"/>
  <c r="AN29" i="64"/>
  <c r="CO29" i="64"/>
  <c r="CF29" i="64"/>
  <c r="BW29" i="64"/>
  <c r="BM29" i="64"/>
  <c r="AV29" i="64"/>
  <c r="AM29" i="64"/>
  <c r="CW29" i="64"/>
  <c r="CN29" i="64"/>
  <c r="CE29" i="64"/>
  <c r="BU29" i="64"/>
  <c r="BL29" i="64"/>
  <c r="AU29" i="64"/>
  <c r="AL29" i="64"/>
  <c r="D29" i="64"/>
  <c r="L23" i="23" s="1"/>
  <c r="O23" i="24" s="1"/>
  <c r="CV29" i="64"/>
  <c r="BT29" i="64"/>
  <c r="BK29" i="64"/>
  <c r="AT29" i="64"/>
  <c r="AK29" i="64"/>
  <c r="CU29" i="64"/>
  <c r="BS29" i="64"/>
  <c r="BJ29" i="64"/>
  <c r="AS29" i="64"/>
  <c r="AJ29" i="64"/>
  <c r="A31" i="64"/>
  <c r="I25" i="23" s="1"/>
  <c r="K25" i="24" s="1"/>
  <c r="B30" i="64"/>
  <c r="J24" i="23" s="1"/>
  <c r="L24" i="24" s="1"/>
  <c r="CA28" i="64"/>
  <c r="O28" i="64" s="1"/>
  <c r="A31" i="63"/>
  <c r="E25" i="23" s="1"/>
  <c r="F25" i="24" s="1"/>
  <c r="B30" i="63"/>
  <c r="F24" i="23" s="1"/>
  <c r="G24" i="24" s="1"/>
  <c r="BB28" i="63"/>
  <c r="BA28" i="63"/>
  <c r="N28" i="63" s="1"/>
  <c r="CV29" i="63"/>
  <c r="CN29" i="63"/>
  <c r="BX29" i="63"/>
  <c r="BP29" i="63"/>
  <c r="BH29" i="63"/>
  <c r="AZ29" i="63"/>
  <c r="AR29" i="63"/>
  <c r="AJ29" i="63"/>
  <c r="CT29" i="63"/>
  <c r="CD29" i="63"/>
  <c r="BV29" i="63"/>
  <c r="CP29" i="63"/>
  <c r="CE29" i="63"/>
  <c r="BT29" i="63"/>
  <c r="BK29" i="63"/>
  <c r="AS29" i="63"/>
  <c r="AI29" i="63"/>
  <c r="CO29" i="63"/>
  <c r="BS29" i="63"/>
  <c r="BJ29" i="63"/>
  <c r="AQ29" i="63"/>
  <c r="AH29" i="63"/>
  <c r="CW29" i="63"/>
  <c r="BQ29" i="63"/>
  <c r="BG29" i="63"/>
  <c r="AX29" i="63"/>
  <c r="AO29" i="63"/>
  <c r="CR29" i="63"/>
  <c r="BZ29" i="63"/>
  <c r="BL29" i="63"/>
  <c r="AV29" i="63"/>
  <c r="AG29" i="63"/>
  <c r="BY29" i="63"/>
  <c r="AU29" i="63"/>
  <c r="BW29" i="63"/>
  <c r="AT29" i="63"/>
  <c r="BU29" i="63"/>
  <c r="AP29" i="63"/>
  <c r="D29" i="63"/>
  <c r="H23" i="23" s="1"/>
  <c r="J23" i="24" s="1"/>
  <c r="CH29" i="63"/>
  <c r="BR29" i="63"/>
  <c r="AN29" i="63"/>
  <c r="BO29" i="63"/>
  <c r="AM29" i="63"/>
  <c r="CU29" i="63"/>
  <c r="BN29" i="63"/>
  <c r="AY29" i="63"/>
  <c r="AL29" i="63"/>
  <c r="CS29" i="63"/>
  <c r="BM29" i="63"/>
  <c r="AW29" i="63"/>
  <c r="AK29" i="63"/>
  <c r="AJ22" i="23" l="1"/>
  <c r="O22" i="25"/>
  <c r="AG24" i="23"/>
  <c r="K24" i="25" s="1"/>
  <c r="B30" i="70"/>
  <c r="A31" i="70"/>
  <c r="AH23" i="23"/>
  <c r="L23" i="25" s="1"/>
  <c r="CG29" i="70"/>
  <c r="AS29" i="70"/>
  <c r="AP29" i="70"/>
  <c r="CV29" i="70"/>
  <c r="BS29" i="70"/>
  <c r="CP29" i="70"/>
  <c r="AT29" i="70"/>
  <c r="CJ29" i="70"/>
  <c r="AK29" i="70"/>
  <c r="AH29" i="70"/>
  <c r="CF29" i="70"/>
  <c r="BH29" i="70"/>
  <c r="BP29" i="70"/>
  <c r="AI29" i="70"/>
  <c r="D29" i="70"/>
  <c r="CS29" i="70"/>
  <c r="BT29" i="70"/>
  <c r="AY29" i="70"/>
  <c r="AV29" i="70"/>
  <c r="BX29" i="70"/>
  <c r="CI29" i="70"/>
  <c r="CT29" i="70"/>
  <c r="BW29" i="70"/>
  <c r="BJ29" i="70"/>
  <c r="AN29" i="70"/>
  <c r="AL29" i="70"/>
  <c r="BM29" i="70"/>
  <c r="CQ29" i="70"/>
  <c r="CO29" i="70"/>
  <c r="CD29" i="70"/>
  <c r="BL29" i="70"/>
  <c r="AZ29" i="70"/>
  <c r="BR29" i="70"/>
  <c r="CN29" i="70"/>
  <c r="CK29" i="70"/>
  <c r="BY29" i="70"/>
  <c r="BV29" i="70"/>
  <c r="AR29" i="70"/>
  <c r="AO29" i="70"/>
  <c r="BG29" i="70"/>
  <c r="BO29" i="70"/>
  <c r="CL29" i="70"/>
  <c r="BQ29" i="70"/>
  <c r="BN29" i="70"/>
  <c r="AG29" i="70"/>
  <c r="CU29" i="70"/>
  <c r="AW29" i="70"/>
  <c r="AU29" i="70"/>
  <c r="CM29" i="70"/>
  <c r="BI29" i="70"/>
  <c r="AX29" i="70"/>
  <c r="AQ29" i="70"/>
  <c r="CE29" i="70"/>
  <c r="AM29" i="70"/>
  <c r="AJ29" i="70"/>
  <c r="BB28" i="70"/>
  <c r="BA28" i="70"/>
  <c r="N28" i="70" s="1"/>
  <c r="J23" i="25"/>
  <c r="AF23" i="23"/>
  <c r="U24" i="23"/>
  <c r="Z24" i="24" s="1"/>
  <c r="B30" i="67"/>
  <c r="A31" i="67"/>
  <c r="AD23" i="25"/>
  <c r="AV23" i="23"/>
  <c r="V23" i="23"/>
  <c r="AA23" i="24" s="1"/>
  <c r="CQ29" i="67"/>
  <c r="BH29" i="67"/>
  <c r="BG29" i="67"/>
  <c r="AX29" i="67"/>
  <c r="AG29" i="67"/>
  <c r="BK29" i="67"/>
  <c r="BY29" i="67"/>
  <c r="BS29" i="67"/>
  <c r="CW29" i="67"/>
  <c r="AZ29" i="67"/>
  <c r="AY29" i="67"/>
  <c r="AP29" i="67"/>
  <c r="CR29" i="67"/>
  <c r="D29" i="67"/>
  <c r="X23" i="23" s="1"/>
  <c r="AD23" i="24" s="1"/>
  <c r="AM29" i="67"/>
  <c r="AV29" i="67"/>
  <c r="CI29" i="67"/>
  <c r="CO29" i="67"/>
  <c r="AR29" i="67"/>
  <c r="AQ29" i="67"/>
  <c r="AH29" i="67"/>
  <c r="BT29" i="67"/>
  <c r="BJ29" i="67"/>
  <c r="CP29" i="67"/>
  <c r="BI29" i="67"/>
  <c r="CJ29" i="67"/>
  <c r="CV29" i="67"/>
  <c r="AJ29" i="67"/>
  <c r="AI29" i="67"/>
  <c r="CS29" i="67"/>
  <c r="BL29" i="67"/>
  <c r="AU29" i="67"/>
  <c r="AL29" i="67"/>
  <c r="CK29" i="67"/>
  <c r="CN29" i="67"/>
  <c r="CU29" i="67"/>
  <c r="CT29" i="67"/>
  <c r="BU29" i="67"/>
  <c r="CL29" i="67"/>
  <c r="CF29" i="67"/>
  <c r="CE29" i="67"/>
  <c r="CD29" i="67"/>
  <c r="BM29" i="67"/>
  <c r="AN29" i="67"/>
  <c r="AT29" i="67"/>
  <c r="BR29" i="67"/>
  <c r="AK29" i="67"/>
  <c r="CM29" i="67"/>
  <c r="BX29" i="67"/>
  <c r="BW29" i="67"/>
  <c r="BV29" i="67"/>
  <c r="AW29" i="67"/>
  <c r="CH29" i="67"/>
  <c r="BZ29" i="67"/>
  <c r="CG29" i="67"/>
  <c r="BP29" i="67"/>
  <c r="BO29" i="67"/>
  <c r="BN29" i="67"/>
  <c r="AO29" i="67"/>
  <c r="BQ29" i="67"/>
  <c r="AS29" i="67"/>
  <c r="BA28" i="67"/>
  <c r="N28" i="67" s="1"/>
  <c r="BB28" i="67"/>
  <c r="AN23" i="23"/>
  <c r="T23" i="25"/>
  <c r="Y22" i="25"/>
  <c r="AR22" i="23"/>
  <c r="BB28" i="66"/>
  <c r="BA28" i="66"/>
  <c r="N28" i="66" s="1"/>
  <c r="R23" i="23"/>
  <c r="V23" i="24" s="1"/>
  <c r="CQ29" i="66"/>
  <c r="BS29" i="66"/>
  <c r="CP29" i="66"/>
  <c r="BJ29" i="66"/>
  <c r="CW29" i="66"/>
  <c r="AY29" i="66"/>
  <c r="CT29" i="66"/>
  <c r="AW29" i="66"/>
  <c r="CJ29" i="66"/>
  <c r="BK29" i="66"/>
  <c r="BW29" i="66"/>
  <c r="AR29" i="66"/>
  <c r="BR29" i="66"/>
  <c r="AO29" i="66"/>
  <c r="CH29" i="66"/>
  <c r="BZ29" i="66"/>
  <c r="CK29" i="66"/>
  <c r="AU29" i="66"/>
  <c r="BM29" i="66"/>
  <c r="AH29" i="66"/>
  <c r="BH29" i="66"/>
  <c r="D29" i="66"/>
  <c r="T23" i="23" s="1"/>
  <c r="Y23" i="24" s="1"/>
  <c r="BY29" i="66"/>
  <c r="CM29" i="66"/>
  <c r="CR29" i="66"/>
  <c r="AM29" i="66"/>
  <c r="AS29" i="66"/>
  <c r="CN29" i="66"/>
  <c r="AZ29" i="66"/>
  <c r="CU29" i="66"/>
  <c r="BO29" i="66"/>
  <c r="CG29" i="66"/>
  <c r="BT29" i="66"/>
  <c r="CS29" i="66"/>
  <c r="AI29" i="66"/>
  <c r="CD29" i="66"/>
  <c r="AP29" i="66"/>
  <c r="CL29" i="66"/>
  <c r="BL29" i="66"/>
  <c r="BX29" i="66"/>
  <c r="CO29" i="66"/>
  <c r="BU29" i="66"/>
  <c r="CV29" i="66"/>
  <c r="BP29" i="66"/>
  <c r="AK29" i="66"/>
  <c r="AV29" i="66"/>
  <c r="AT29" i="66"/>
  <c r="CE29" i="66"/>
  <c r="AQ29" i="66"/>
  <c r="BQ29" i="66"/>
  <c r="AX29" i="66"/>
  <c r="BG29" i="66"/>
  <c r="CI29" i="66"/>
  <c r="AN29" i="66"/>
  <c r="AJ29" i="66"/>
  <c r="BV29" i="66"/>
  <c r="AG29" i="66"/>
  <c r="AL29" i="66"/>
  <c r="Q24" i="23"/>
  <c r="U24" i="24" s="1"/>
  <c r="B30" i="66"/>
  <c r="A31" i="66"/>
  <c r="CQ30" i="73"/>
  <c r="CJ30" i="73"/>
  <c r="CG30" i="73"/>
  <c r="CI30" i="73"/>
  <c r="CK30" i="73"/>
  <c r="CL30" i="73"/>
  <c r="CM30" i="73"/>
  <c r="CI30" i="68"/>
  <c r="CJ30" i="68"/>
  <c r="CK30" i="68"/>
  <c r="CM30" i="68"/>
  <c r="CQ30" i="68"/>
  <c r="CI30" i="69"/>
  <c r="CJ30" i="69"/>
  <c r="CK30" i="69"/>
  <c r="CG30" i="69"/>
  <c r="CL30" i="69"/>
  <c r="CM30" i="69"/>
  <c r="CQ30" i="69"/>
  <c r="CJ29" i="72"/>
  <c r="CQ29" i="72"/>
  <c r="CK29" i="72"/>
  <c r="CI29" i="72"/>
  <c r="CL29" i="72"/>
  <c r="CM29" i="72"/>
  <c r="CG29" i="72"/>
  <c r="CI30" i="71"/>
  <c r="CQ30" i="71"/>
  <c r="CJ30" i="71"/>
  <c r="CG30" i="71"/>
  <c r="CK30" i="71"/>
  <c r="CL30" i="71"/>
  <c r="CM30" i="71"/>
  <c r="CI30" i="65"/>
  <c r="CJ30" i="65"/>
  <c r="CL30" i="65"/>
  <c r="CM30" i="65"/>
  <c r="CG30" i="65"/>
  <c r="CQ30" i="65"/>
  <c r="CI30" i="64"/>
  <c r="CL30" i="64"/>
  <c r="CM30" i="64"/>
  <c r="CG30" i="64"/>
  <c r="CJ30" i="64"/>
  <c r="CK30" i="64"/>
  <c r="CQ30" i="64"/>
  <c r="CI30" i="63"/>
  <c r="CJ30" i="63"/>
  <c r="CK30" i="63"/>
  <c r="CL30" i="63"/>
  <c r="CM30" i="63"/>
  <c r="CQ30" i="63"/>
  <c r="CX29" i="64"/>
  <c r="P29" i="64" s="1"/>
  <c r="CX29" i="73"/>
  <c r="P29" i="73" s="1"/>
  <c r="Q28" i="73"/>
  <c r="CA29" i="73"/>
  <c r="O29" i="73" s="1"/>
  <c r="A32" i="73"/>
  <c r="AS26" i="23" s="1"/>
  <c r="Z26" i="25" s="1"/>
  <c r="B31" i="73"/>
  <c r="AT25" i="23" s="1"/>
  <c r="AA25" i="25" s="1"/>
  <c r="CT30" i="73"/>
  <c r="CD30" i="73"/>
  <c r="BV30" i="73"/>
  <c r="BN30" i="73"/>
  <c r="AX30" i="73"/>
  <c r="AP30" i="73"/>
  <c r="AH30" i="73"/>
  <c r="CS30" i="73"/>
  <c r="BU30" i="73"/>
  <c r="BM30" i="73"/>
  <c r="AW30" i="73"/>
  <c r="AO30" i="73"/>
  <c r="AG30" i="73"/>
  <c r="BS30" i="73"/>
  <c r="BK30" i="73"/>
  <c r="BZ30" i="73"/>
  <c r="BO30" i="73"/>
  <c r="AT30" i="73"/>
  <c r="AJ30" i="73"/>
  <c r="CW30" i="73"/>
  <c r="BY30" i="73"/>
  <c r="BL30" i="73"/>
  <c r="AS30" i="73"/>
  <c r="AI30" i="73"/>
  <c r="CV30" i="73"/>
  <c r="CH30" i="73"/>
  <c r="BX30" i="73"/>
  <c r="BJ30" i="73"/>
  <c r="AR30" i="73"/>
  <c r="CU30" i="73"/>
  <c r="BW30" i="73"/>
  <c r="BI30" i="73"/>
  <c r="AQ30" i="73"/>
  <c r="CR30" i="73"/>
  <c r="CF30" i="73"/>
  <c r="BT30" i="73"/>
  <c r="BH30" i="73"/>
  <c r="AZ30" i="73"/>
  <c r="AN30" i="73"/>
  <c r="D30" i="73"/>
  <c r="CP30" i="73"/>
  <c r="CE30" i="73"/>
  <c r="BR30" i="73"/>
  <c r="BG30" i="73"/>
  <c r="AY30" i="73"/>
  <c r="AM30" i="73"/>
  <c r="CO30" i="73"/>
  <c r="BQ30" i="73"/>
  <c r="AV30" i="73"/>
  <c r="AL30" i="73"/>
  <c r="CN30" i="73"/>
  <c r="BP30" i="73"/>
  <c r="AU30" i="73"/>
  <c r="AK30" i="73"/>
  <c r="BB29" i="73"/>
  <c r="BA29" i="73"/>
  <c r="N29" i="73" s="1"/>
  <c r="B30" i="72"/>
  <c r="AP24" i="23" s="1"/>
  <c r="V24" i="25" s="1"/>
  <c r="A31" i="72"/>
  <c r="AO25" i="23" s="1"/>
  <c r="U25" i="25" s="1"/>
  <c r="CP29" i="72"/>
  <c r="BZ29" i="72"/>
  <c r="BR29" i="72"/>
  <c r="BJ29" i="72"/>
  <c r="AT29" i="72"/>
  <c r="AL29" i="72"/>
  <c r="CV29" i="72"/>
  <c r="CN29" i="72"/>
  <c r="BP29" i="72"/>
  <c r="BH29" i="72"/>
  <c r="AZ29" i="72"/>
  <c r="AR29" i="72"/>
  <c r="AJ29" i="72"/>
  <c r="CE29" i="72"/>
  <c r="BW29" i="72"/>
  <c r="BO29" i="72"/>
  <c r="BG29" i="72"/>
  <c r="AY29" i="72"/>
  <c r="AQ29" i="72"/>
  <c r="AI29" i="72"/>
  <c r="CT29" i="72"/>
  <c r="CD29" i="72"/>
  <c r="BV29" i="72"/>
  <c r="BN29" i="72"/>
  <c r="AX29" i="72"/>
  <c r="AP29" i="72"/>
  <c r="AH29" i="72"/>
  <c r="CS29" i="72"/>
  <c r="BU29" i="72"/>
  <c r="BM29" i="72"/>
  <c r="AW29" i="72"/>
  <c r="AO29" i="72"/>
  <c r="AG29" i="72"/>
  <c r="BY29" i="72"/>
  <c r="AM29" i="72"/>
  <c r="CO29" i="72"/>
  <c r="BT29" i="72"/>
  <c r="AK29" i="72"/>
  <c r="BS29" i="72"/>
  <c r="BQ29" i="72"/>
  <c r="D29" i="72"/>
  <c r="BL29" i="72"/>
  <c r="AV29" i="72"/>
  <c r="BK29" i="72"/>
  <c r="AU29" i="72"/>
  <c r="AS29" i="72"/>
  <c r="CR29" i="72"/>
  <c r="AN29" i="72"/>
  <c r="BB28" i="72"/>
  <c r="BA28" i="72"/>
  <c r="N28" i="72" s="1"/>
  <c r="CT30" i="71"/>
  <c r="BN30" i="71"/>
  <c r="AX30" i="71"/>
  <c r="AP30" i="71"/>
  <c r="AH30" i="71"/>
  <c r="BU30" i="71"/>
  <c r="BM30" i="71"/>
  <c r="AW30" i="71"/>
  <c r="AO30" i="71"/>
  <c r="AG30" i="71"/>
  <c r="CR30" i="71"/>
  <c r="BT30" i="71"/>
  <c r="BL30" i="71"/>
  <c r="AV30" i="71"/>
  <c r="AN30" i="71"/>
  <c r="CH30" i="71"/>
  <c r="BZ30" i="71"/>
  <c r="BR30" i="71"/>
  <c r="BJ30" i="71"/>
  <c r="AT30" i="71"/>
  <c r="AL30" i="71"/>
  <c r="CV30" i="71"/>
  <c r="BX30" i="71"/>
  <c r="BP30" i="71"/>
  <c r="BH30" i="71"/>
  <c r="AZ30" i="71"/>
  <c r="AR30" i="71"/>
  <c r="AJ30" i="71"/>
  <c r="CW30" i="71"/>
  <c r="BK30" i="71"/>
  <c r="AY30" i="71"/>
  <c r="CU30" i="71"/>
  <c r="BI30" i="71"/>
  <c r="AU30" i="71"/>
  <c r="AS30" i="71"/>
  <c r="CO30" i="71"/>
  <c r="BY30" i="71"/>
  <c r="AQ30" i="71"/>
  <c r="BW30" i="71"/>
  <c r="AM30" i="71"/>
  <c r="BS30" i="71"/>
  <c r="AK30" i="71"/>
  <c r="AI30" i="71"/>
  <c r="D30" i="71"/>
  <c r="BO30" i="71"/>
  <c r="CE30" i="71"/>
  <c r="A32" i="71"/>
  <c r="AK26" i="23" s="1"/>
  <c r="P26" i="25" s="1"/>
  <c r="B31" i="71"/>
  <c r="AL25" i="23" s="1"/>
  <c r="Q25" i="25" s="1"/>
  <c r="BB29" i="71"/>
  <c r="BA29" i="71"/>
  <c r="N29" i="71" s="1"/>
  <c r="CA29" i="71"/>
  <c r="O29" i="71" s="1"/>
  <c r="Q28" i="71"/>
  <c r="BK30" i="69"/>
  <c r="AU30" i="69"/>
  <c r="AM30" i="69"/>
  <c r="BZ30" i="69"/>
  <c r="BR30" i="69"/>
  <c r="BJ30" i="69"/>
  <c r="AT30" i="69"/>
  <c r="AL30" i="69"/>
  <c r="CT30" i="69"/>
  <c r="BX30" i="69"/>
  <c r="AS30" i="69"/>
  <c r="AI30" i="69"/>
  <c r="CS30" i="69"/>
  <c r="BW30" i="69"/>
  <c r="BM30" i="69"/>
  <c r="AR30" i="69"/>
  <c r="AH30" i="69"/>
  <c r="BV30" i="69"/>
  <c r="BL30" i="69"/>
  <c r="AQ30" i="69"/>
  <c r="AG30" i="69"/>
  <c r="CO30" i="69"/>
  <c r="CE30" i="69"/>
  <c r="BU30" i="69"/>
  <c r="AZ30" i="69"/>
  <c r="AP30" i="69"/>
  <c r="CN30" i="69"/>
  <c r="CD30" i="69"/>
  <c r="BT30" i="69"/>
  <c r="BH30" i="69"/>
  <c r="AY30" i="69"/>
  <c r="AO30" i="69"/>
  <c r="D30" i="69"/>
  <c r="CW30" i="69"/>
  <c r="BQ30" i="69"/>
  <c r="BG30" i="69"/>
  <c r="AX30" i="69"/>
  <c r="AN30" i="69"/>
  <c r="CV30" i="69"/>
  <c r="BP30" i="69"/>
  <c r="AW30" i="69"/>
  <c r="AK30" i="69"/>
  <c r="BO30" i="69"/>
  <c r="CU30" i="69"/>
  <c r="AV30" i="69"/>
  <c r="AJ30" i="69"/>
  <c r="BY30" i="69"/>
  <c r="BB29" i="69"/>
  <c r="BA29" i="69"/>
  <c r="N29" i="69" s="1"/>
  <c r="A32" i="69"/>
  <c r="AC26" i="23" s="1"/>
  <c r="F26" i="25" s="1"/>
  <c r="B31" i="69"/>
  <c r="AD25" i="23" s="1"/>
  <c r="G25" i="25" s="1"/>
  <c r="B31" i="68"/>
  <c r="Z25" i="23" s="1"/>
  <c r="B25" i="25" s="1"/>
  <c r="A32" i="68"/>
  <c r="Y26" i="23" s="1"/>
  <c r="A26" i="25" s="1"/>
  <c r="CV30" i="68"/>
  <c r="CN30" i="68"/>
  <c r="BX30" i="68"/>
  <c r="BP30" i="68"/>
  <c r="CS30" i="68"/>
  <c r="CT30" i="68"/>
  <c r="BZ30" i="68"/>
  <c r="BQ30" i="68"/>
  <c r="BH30" i="68"/>
  <c r="AZ30" i="68"/>
  <c r="AR30" i="68"/>
  <c r="AJ30" i="68"/>
  <c r="CR30" i="68"/>
  <c r="CH30" i="68"/>
  <c r="BY30" i="68"/>
  <c r="BO30" i="68"/>
  <c r="BG30" i="68"/>
  <c r="AY30" i="68"/>
  <c r="AQ30" i="68"/>
  <c r="AI30" i="68"/>
  <c r="BW30" i="68"/>
  <c r="AX30" i="68"/>
  <c r="AP30" i="68"/>
  <c r="AH30" i="68"/>
  <c r="CE30" i="68"/>
  <c r="BV30" i="68"/>
  <c r="BM30" i="68"/>
  <c r="AW30" i="68"/>
  <c r="AO30" i="68"/>
  <c r="AG30" i="68"/>
  <c r="CO30" i="68"/>
  <c r="CD30" i="68"/>
  <c r="BU30" i="68"/>
  <c r="BL30" i="68"/>
  <c r="AV30" i="68"/>
  <c r="AN30" i="68"/>
  <c r="BT30" i="68"/>
  <c r="BK30" i="68"/>
  <c r="AU30" i="68"/>
  <c r="AM30" i="68"/>
  <c r="CW30" i="68"/>
  <c r="BJ30" i="68"/>
  <c r="AT30" i="68"/>
  <c r="AS30" i="68"/>
  <c r="BR30" i="68"/>
  <c r="AL30" i="68"/>
  <c r="AK30" i="68"/>
  <c r="D30" i="68"/>
  <c r="AB24" i="23" s="1"/>
  <c r="E24" i="25" s="1"/>
  <c r="CU30" i="68"/>
  <c r="BB29" i="68"/>
  <c r="BA29" i="68"/>
  <c r="N29" i="68" s="1"/>
  <c r="BB29" i="65"/>
  <c r="BA29" i="65"/>
  <c r="N29" i="65" s="1"/>
  <c r="CV30" i="65"/>
  <c r="CN30" i="65"/>
  <c r="BX30" i="65"/>
  <c r="BP30" i="65"/>
  <c r="CU30" i="65"/>
  <c r="BT30" i="65"/>
  <c r="BK30" i="65"/>
  <c r="AT30" i="65"/>
  <c r="AL30" i="65"/>
  <c r="CT30" i="65"/>
  <c r="BS30" i="65"/>
  <c r="BJ30" i="65"/>
  <c r="AS30" i="65"/>
  <c r="AK30" i="65"/>
  <c r="D30" i="65"/>
  <c r="P24" i="23" s="1"/>
  <c r="T24" i="24" s="1"/>
  <c r="CS30" i="65"/>
  <c r="CH30" i="65"/>
  <c r="BY30" i="65"/>
  <c r="AZ30" i="65"/>
  <c r="AP30" i="65"/>
  <c r="CR30" i="65"/>
  <c r="BW30" i="65"/>
  <c r="BL30" i="65"/>
  <c r="AY30" i="65"/>
  <c r="AO30" i="65"/>
  <c r="BV30" i="65"/>
  <c r="BI30" i="65"/>
  <c r="AX30" i="65"/>
  <c r="AN30" i="65"/>
  <c r="CP30" i="65"/>
  <c r="CD30" i="65"/>
  <c r="BU30" i="65"/>
  <c r="BG30" i="65"/>
  <c r="AW30" i="65"/>
  <c r="AM30" i="65"/>
  <c r="BQ30" i="65"/>
  <c r="AU30" i="65"/>
  <c r="AI30" i="65"/>
  <c r="BZ30" i="65"/>
  <c r="AV30" i="65"/>
  <c r="BR30" i="65"/>
  <c r="AR30" i="65"/>
  <c r="BO30" i="65"/>
  <c r="AQ30" i="65"/>
  <c r="CW30" i="65"/>
  <c r="BN30" i="65"/>
  <c r="AJ30" i="65"/>
  <c r="CO30" i="65"/>
  <c r="AH30" i="65"/>
  <c r="AG30" i="65"/>
  <c r="B31" i="65"/>
  <c r="N25" i="23" s="1"/>
  <c r="Q25" i="24" s="1"/>
  <c r="A32" i="65"/>
  <c r="M26" i="23" s="1"/>
  <c r="P26" i="24" s="1"/>
  <c r="BB29" i="64"/>
  <c r="BA29" i="64"/>
  <c r="N29" i="64" s="1"/>
  <c r="A32" i="64"/>
  <c r="I26" i="23" s="1"/>
  <c r="K26" i="24" s="1"/>
  <c r="B31" i="64"/>
  <c r="J25" i="23" s="1"/>
  <c r="L25" i="24" s="1"/>
  <c r="CA29" i="64"/>
  <c r="O29" i="64" s="1"/>
  <c r="CW30" i="64"/>
  <c r="CO30" i="64"/>
  <c r="BY30" i="64"/>
  <c r="BQ30" i="64"/>
  <c r="BI30" i="64"/>
  <c r="AS30" i="64"/>
  <c r="AK30" i="64"/>
  <c r="D30" i="64"/>
  <c r="L24" i="23" s="1"/>
  <c r="O24" i="24" s="1"/>
  <c r="CV30" i="64"/>
  <c r="CN30" i="64"/>
  <c r="CF30" i="64"/>
  <c r="BX30" i="64"/>
  <c r="BP30" i="64"/>
  <c r="BH30" i="64"/>
  <c r="AZ30" i="64"/>
  <c r="AR30" i="64"/>
  <c r="AJ30" i="64"/>
  <c r="CU30" i="64"/>
  <c r="CE30" i="64"/>
  <c r="BW30" i="64"/>
  <c r="BO30" i="64"/>
  <c r="BG30" i="64"/>
  <c r="AY30" i="64"/>
  <c r="AQ30" i="64"/>
  <c r="AI30" i="64"/>
  <c r="CP30" i="64"/>
  <c r="BN30" i="64"/>
  <c r="AO30" i="64"/>
  <c r="BM30" i="64"/>
  <c r="AN30" i="64"/>
  <c r="BZ30" i="64"/>
  <c r="BL30" i="64"/>
  <c r="AX30" i="64"/>
  <c r="AM30" i="64"/>
  <c r="BV30" i="64"/>
  <c r="BK30" i="64"/>
  <c r="AW30" i="64"/>
  <c r="AL30" i="64"/>
  <c r="CT30" i="64"/>
  <c r="BU30" i="64"/>
  <c r="BJ30" i="64"/>
  <c r="AV30" i="64"/>
  <c r="AH30" i="64"/>
  <c r="CS30" i="64"/>
  <c r="CH30" i="64"/>
  <c r="BT30" i="64"/>
  <c r="AU30" i="64"/>
  <c r="AG30" i="64"/>
  <c r="CR30" i="64"/>
  <c r="CD30" i="64"/>
  <c r="BS30" i="64"/>
  <c r="AT30" i="64"/>
  <c r="BR30" i="64"/>
  <c r="AP30" i="64"/>
  <c r="Q28" i="64"/>
  <c r="CR30" i="63"/>
  <c r="BT30" i="63"/>
  <c r="BL30" i="63"/>
  <c r="AV30" i="63"/>
  <c r="AN30" i="63"/>
  <c r="BS30" i="63"/>
  <c r="BK30" i="63"/>
  <c r="AU30" i="63"/>
  <c r="AM30" i="63"/>
  <c r="CW30" i="63"/>
  <c r="CO30" i="63"/>
  <c r="BY30" i="63"/>
  <c r="BQ30" i="63"/>
  <c r="BI30" i="63"/>
  <c r="AS30" i="63"/>
  <c r="AK30" i="63"/>
  <c r="D30" i="63"/>
  <c r="H24" i="23" s="1"/>
  <c r="J24" i="24" s="1"/>
  <c r="CT30" i="63"/>
  <c r="CF30" i="63"/>
  <c r="BV30" i="63"/>
  <c r="BH30" i="63"/>
  <c r="AY30" i="63"/>
  <c r="AL30" i="63"/>
  <c r="CS30" i="63"/>
  <c r="CE30" i="63"/>
  <c r="BU30" i="63"/>
  <c r="BG30" i="63"/>
  <c r="AX30" i="63"/>
  <c r="AJ30" i="63"/>
  <c r="CP30" i="63"/>
  <c r="CD30" i="63"/>
  <c r="BR30" i="63"/>
  <c r="AW30" i="63"/>
  <c r="AI30" i="63"/>
  <c r="CN30" i="63"/>
  <c r="BP30" i="63"/>
  <c r="AT30" i="63"/>
  <c r="AH30" i="63"/>
  <c r="CV30" i="63"/>
  <c r="BZ30" i="63"/>
  <c r="AO30" i="63"/>
  <c r="CU30" i="63"/>
  <c r="BX30" i="63"/>
  <c r="AG30" i="63"/>
  <c r="BW30" i="63"/>
  <c r="BO30" i="63"/>
  <c r="BN30" i="63"/>
  <c r="AZ30" i="63"/>
  <c r="BM30" i="63"/>
  <c r="AR30" i="63"/>
  <c r="AQ30" i="63"/>
  <c r="AP30" i="63"/>
  <c r="A32" i="63"/>
  <c r="E26" i="23" s="1"/>
  <c r="F26" i="24" s="1"/>
  <c r="B31" i="63"/>
  <c r="F25" i="23" s="1"/>
  <c r="G25" i="24" s="1"/>
  <c r="BB29" i="63"/>
  <c r="BA29" i="63"/>
  <c r="N29" i="63" s="1"/>
  <c r="AJ23" i="23" l="1"/>
  <c r="O23" i="25"/>
  <c r="AG25" i="23"/>
  <c r="K25" i="25" s="1"/>
  <c r="B31" i="70"/>
  <c r="A32" i="70"/>
  <c r="AH24" i="23"/>
  <c r="L24" i="25" s="1"/>
  <c r="CM30" i="70"/>
  <c r="BU30" i="70"/>
  <c r="AM30" i="70"/>
  <c r="BI30" i="70"/>
  <c r="AZ30" i="70"/>
  <c r="AQ30" i="70"/>
  <c r="CO30" i="70"/>
  <c r="CG30" i="70"/>
  <c r="BL30" i="70"/>
  <c r="CT30" i="70"/>
  <c r="AS30" i="70"/>
  <c r="AR30" i="70"/>
  <c r="AI30" i="70"/>
  <c r="CE30" i="70"/>
  <c r="AV30" i="70"/>
  <c r="BS30" i="70"/>
  <c r="AK30" i="70"/>
  <c r="AJ30" i="70"/>
  <c r="CP30" i="70"/>
  <c r="BV30" i="70"/>
  <c r="BM30" i="70"/>
  <c r="CI30" i="70"/>
  <c r="CV30" i="70"/>
  <c r="AN30" i="70"/>
  <c r="BJ30" i="70"/>
  <c r="D30" i="70"/>
  <c r="CH30" i="70"/>
  <c r="BW30" i="70"/>
  <c r="CQ30" i="70"/>
  <c r="CF30" i="70"/>
  <c r="CU30" i="70"/>
  <c r="AT30" i="70"/>
  <c r="CR30" i="70"/>
  <c r="BY30" i="70"/>
  <c r="BN30" i="70"/>
  <c r="AW30" i="70"/>
  <c r="CJ30" i="70"/>
  <c r="BX30" i="70"/>
  <c r="BT30" i="70"/>
  <c r="AL30" i="70"/>
  <c r="BZ30" i="70"/>
  <c r="BO30" i="70"/>
  <c r="AX30" i="70"/>
  <c r="AO30" i="70"/>
  <c r="CK30" i="70"/>
  <c r="BP30" i="70"/>
  <c r="BK30" i="70"/>
  <c r="CS30" i="70"/>
  <c r="BQ30" i="70"/>
  <c r="BG30" i="70"/>
  <c r="AP30" i="70"/>
  <c r="AG30" i="70"/>
  <c r="CL30" i="70"/>
  <c r="CW30" i="70"/>
  <c r="AU30" i="70"/>
  <c r="BR30" i="70"/>
  <c r="BH30" i="70"/>
  <c r="AY30" i="70"/>
  <c r="AH30" i="70"/>
  <c r="BA29" i="70"/>
  <c r="N29" i="70" s="1"/>
  <c r="BB29" i="70"/>
  <c r="J24" i="25"/>
  <c r="AF24" i="23"/>
  <c r="T24" i="25"/>
  <c r="AN24" i="23"/>
  <c r="AD24" i="25"/>
  <c r="AV24" i="23"/>
  <c r="BB29" i="67"/>
  <c r="BA29" i="67"/>
  <c r="N29" i="67" s="1"/>
  <c r="U25" i="23"/>
  <c r="Z25" i="24" s="1"/>
  <c r="A32" i="67"/>
  <c r="B31" i="67"/>
  <c r="V24" i="23"/>
  <c r="AA24" i="24" s="1"/>
  <c r="CQ30" i="67"/>
  <c r="BS30" i="67"/>
  <c r="BJ30" i="67"/>
  <c r="AS30" i="67"/>
  <c r="BH30" i="67"/>
  <c r="BG30" i="67"/>
  <c r="BV30" i="67"/>
  <c r="CL30" i="67"/>
  <c r="BK30" i="67"/>
  <c r="AT30" i="67"/>
  <c r="AK30" i="67"/>
  <c r="AZ30" i="67"/>
  <c r="AY30" i="67"/>
  <c r="AX30" i="67"/>
  <c r="CM30" i="67"/>
  <c r="AU30" i="67"/>
  <c r="AL30" i="67"/>
  <c r="D30" i="67"/>
  <c r="X24" i="23" s="1"/>
  <c r="AD24" i="24" s="1"/>
  <c r="AR30" i="67"/>
  <c r="AQ30" i="67"/>
  <c r="CT30" i="67"/>
  <c r="CG30" i="67"/>
  <c r="CR30" i="67"/>
  <c r="AM30" i="67"/>
  <c r="CW30" i="67"/>
  <c r="CV30" i="67"/>
  <c r="AJ30" i="67"/>
  <c r="AI30" i="67"/>
  <c r="BU30" i="67"/>
  <c r="CJ30" i="67"/>
  <c r="BT30" i="67"/>
  <c r="CP30" i="67"/>
  <c r="CO30" i="67"/>
  <c r="CN30" i="67"/>
  <c r="CU30" i="67"/>
  <c r="BM30" i="67"/>
  <c r="AW30" i="67"/>
  <c r="CK30" i="67"/>
  <c r="BL30" i="67"/>
  <c r="CH30" i="67"/>
  <c r="BY30" i="67"/>
  <c r="CF30" i="67"/>
  <c r="CE30" i="67"/>
  <c r="AO30" i="67"/>
  <c r="CS30" i="67"/>
  <c r="AV30" i="67"/>
  <c r="BZ30" i="67"/>
  <c r="BQ30" i="67"/>
  <c r="BX30" i="67"/>
  <c r="BW30" i="67"/>
  <c r="AH30" i="67"/>
  <c r="BN30" i="67"/>
  <c r="CI30" i="67"/>
  <c r="AN30" i="67"/>
  <c r="BR30" i="67"/>
  <c r="BI30" i="67"/>
  <c r="BP30" i="67"/>
  <c r="BO30" i="67"/>
  <c r="AG30" i="67"/>
  <c r="AP30" i="67"/>
  <c r="CA29" i="67"/>
  <c r="O29" i="67" s="1"/>
  <c r="CX29" i="67"/>
  <c r="P29" i="67" s="1"/>
  <c r="Y23" i="25"/>
  <c r="AR23" i="23"/>
  <c r="Q25" i="23"/>
  <c r="U25" i="24" s="1"/>
  <c r="A32" i="66"/>
  <c r="B31" i="66"/>
  <c r="R24" i="23"/>
  <c r="V24" i="24" s="1"/>
  <c r="CQ30" i="66"/>
  <c r="BO30" i="66"/>
  <c r="BN30" i="66"/>
  <c r="AO30" i="66"/>
  <c r="D30" i="66"/>
  <c r="T24" i="23" s="1"/>
  <c r="Y24" i="24" s="1"/>
  <c r="BJ30" i="66"/>
  <c r="BS30" i="66"/>
  <c r="CO30" i="66"/>
  <c r="AK30" i="66"/>
  <c r="CJ30" i="66"/>
  <c r="BG30" i="66"/>
  <c r="AX30" i="66"/>
  <c r="AG30" i="66"/>
  <c r="CW30" i="66"/>
  <c r="AM30" i="66"/>
  <c r="BH30" i="66"/>
  <c r="BQ30" i="66"/>
  <c r="BK30" i="66"/>
  <c r="CG30" i="66"/>
  <c r="AY30" i="66"/>
  <c r="AP30" i="66"/>
  <c r="CN30" i="66"/>
  <c r="BY30" i="66"/>
  <c r="CR30" i="66"/>
  <c r="AV30" i="66"/>
  <c r="AT30" i="66"/>
  <c r="BT30" i="66"/>
  <c r="AQ30" i="66"/>
  <c r="AH30" i="66"/>
  <c r="BP30" i="66"/>
  <c r="CI30" i="66"/>
  <c r="AI30" i="66"/>
  <c r="CS30" i="66"/>
  <c r="AS30" i="66"/>
  <c r="AN30" i="66"/>
  <c r="BI30" i="66"/>
  <c r="CK30" i="66"/>
  <c r="CU30" i="66"/>
  <c r="CT30" i="66"/>
  <c r="BU30" i="66"/>
  <c r="BZ30" i="66"/>
  <c r="CV30" i="66"/>
  <c r="AZ30" i="66"/>
  <c r="BR30" i="66"/>
  <c r="AU30" i="66"/>
  <c r="CL30" i="66"/>
  <c r="CE30" i="66"/>
  <c r="CD30" i="66"/>
  <c r="BM30" i="66"/>
  <c r="BL30" i="66"/>
  <c r="CH30" i="66"/>
  <c r="AL30" i="66"/>
  <c r="CP30" i="66"/>
  <c r="CM30" i="66"/>
  <c r="BW30" i="66"/>
  <c r="BV30" i="66"/>
  <c r="AW30" i="66"/>
  <c r="AR30" i="66"/>
  <c r="BX30" i="66"/>
  <c r="CF30" i="66"/>
  <c r="AJ30" i="66"/>
  <c r="BB29" i="66"/>
  <c r="BA29" i="66"/>
  <c r="N29" i="66" s="1"/>
  <c r="CI31" i="71"/>
  <c r="CL31" i="71"/>
  <c r="CM31" i="71"/>
  <c r="CJ31" i="71"/>
  <c r="CK31" i="71"/>
  <c r="CK31" i="73"/>
  <c r="CQ31" i="73"/>
  <c r="CL31" i="73"/>
  <c r="CM31" i="73"/>
  <c r="CG31" i="73"/>
  <c r="CI31" i="73"/>
  <c r="CJ31" i="73"/>
  <c r="CI31" i="68"/>
  <c r="CK31" i="68"/>
  <c r="CQ31" i="68"/>
  <c r="CL31" i="68"/>
  <c r="CJ31" i="68"/>
  <c r="CI31" i="69"/>
  <c r="CJ31" i="69"/>
  <c r="CK31" i="69"/>
  <c r="CQ31" i="69"/>
  <c r="CL31" i="69"/>
  <c r="CM31" i="69"/>
  <c r="CQ30" i="72"/>
  <c r="CI30" i="72"/>
  <c r="CJ30" i="72"/>
  <c r="CK30" i="72"/>
  <c r="CL30" i="72"/>
  <c r="CM30" i="72"/>
  <c r="CI31" i="65"/>
  <c r="CJ31" i="65"/>
  <c r="CK31" i="65"/>
  <c r="CQ31" i="65"/>
  <c r="CM31" i="65"/>
  <c r="CI31" i="64"/>
  <c r="CQ31" i="64"/>
  <c r="CJ31" i="64"/>
  <c r="CK31" i="64"/>
  <c r="CL31" i="64"/>
  <c r="CM31" i="64"/>
  <c r="CG31" i="64"/>
  <c r="CI31" i="63"/>
  <c r="CJ31" i="63"/>
  <c r="CK31" i="63"/>
  <c r="CL31" i="63"/>
  <c r="CM31" i="63"/>
  <c r="CG31" i="63"/>
  <c r="CQ31" i="63"/>
  <c r="CX30" i="64"/>
  <c r="P30" i="64" s="1"/>
  <c r="CX30" i="73"/>
  <c r="P30" i="73" s="1"/>
  <c r="Q29" i="73"/>
  <c r="CA30" i="73"/>
  <c r="O30" i="73" s="1"/>
  <c r="CV31" i="73"/>
  <c r="CN31" i="73"/>
  <c r="CF31" i="73"/>
  <c r="CH31" i="73"/>
  <c r="BY31" i="73"/>
  <c r="BQ31" i="73"/>
  <c r="BI31" i="73"/>
  <c r="AS31" i="73"/>
  <c r="AK31" i="73"/>
  <c r="D31" i="73"/>
  <c r="CP31" i="73"/>
  <c r="BX31" i="73"/>
  <c r="BP31" i="73"/>
  <c r="BH31" i="73"/>
  <c r="AZ31" i="73"/>
  <c r="AR31" i="73"/>
  <c r="AJ31" i="73"/>
  <c r="CW31" i="73"/>
  <c r="CD31" i="73"/>
  <c r="BV31" i="73"/>
  <c r="BN31" i="73"/>
  <c r="AX31" i="73"/>
  <c r="AP31" i="73"/>
  <c r="AH31" i="73"/>
  <c r="BW31" i="73"/>
  <c r="BK31" i="73"/>
  <c r="AY31" i="73"/>
  <c r="AM31" i="73"/>
  <c r="BU31" i="73"/>
  <c r="BJ31" i="73"/>
  <c r="AW31" i="73"/>
  <c r="AL31" i="73"/>
  <c r="CU31" i="73"/>
  <c r="BT31" i="73"/>
  <c r="BG31" i="73"/>
  <c r="AV31" i="73"/>
  <c r="AI31" i="73"/>
  <c r="CT31" i="73"/>
  <c r="CE31" i="73"/>
  <c r="BS31" i="73"/>
  <c r="AU31" i="73"/>
  <c r="AG31" i="73"/>
  <c r="CS31" i="73"/>
  <c r="BR31" i="73"/>
  <c r="AT31" i="73"/>
  <c r="CR31" i="73"/>
  <c r="BO31" i="73"/>
  <c r="AQ31" i="73"/>
  <c r="CO31" i="73"/>
  <c r="BM31" i="73"/>
  <c r="AO31" i="73"/>
  <c r="BZ31" i="73"/>
  <c r="BL31" i="73"/>
  <c r="AN31" i="73"/>
  <c r="BB30" i="73"/>
  <c r="BA30" i="73"/>
  <c r="N30" i="73" s="1"/>
  <c r="A33" i="73"/>
  <c r="AS27" i="23" s="1"/>
  <c r="Z27" i="25" s="1"/>
  <c r="B32" i="73"/>
  <c r="AT26" i="23" s="1"/>
  <c r="AA26" i="25" s="1"/>
  <c r="BB29" i="72"/>
  <c r="BA29" i="72"/>
  <c r="N29" i="72" s="1"/>
  <c r="B31" i="72"/>
  <c r="AP25" i="23" s="1"/>
  <c r="V25" i="25" s="1"/>
  <c r="A32" i="72"/>
  <c r="AO26" i="23" s="1"/>
  <c r="U26" i="25" s="1"/>
  <c r="CN30" i="72"/>
  <c r="CF30" i="72"/>
  <c r="BX30" i="72"/>
  <c r="BP30" i="72"/>
  <c r="CS30" i="72"/>
  <c r="BU30" i="72"/>
  <c r="BW30" i="72"/>
  <c r="BM30" i="72"/>
  <c r="AW30" i="72"/>
  <c r="AO30" i="72"/>
  <c r="AG30" i="72"/>
  <c r="CO30" i="72"/>
  <c r="CD30" i="72"/>
  <c r="BT30" i="72"/>
  <c r="BK30" i="72"/>
  <c r="AU30" i="72"/>
  <c r="AM30" i="72"/>
  <c r="BS30" i="72"/>
  <c r="AT30" i="72"/>
  <c r="AL30" i="72"/>
  <c r="CW30" i="72"/>
  <c r="BR30" i="72"/>
  <c r="BI30" i="72"/>
  <c r="AS30" i="72"/>
  <c r="AK30" i="72"/>
  <c r="D30" i="72"/>
  <c r="CU30" i="72"/>
  <c r="BQ30" i="72"/>
  <c r="BH30" i="72"/>
  <c r="AZ30" i="72"/>
  <c r="AR30" i="72"/>
  <c r="AJ30" i="72"/>
  <c r="CT30" i="72"/>
  <c r="BZ30" i="72"/>
  <c r="AN30" i="72"/>
  <c r="CR30" i="72"/>
  <c r="AI30" i="72"/>
  <c r="CP30" i="72"/>
  <c r="BV30" i="72"/>
  <c r="AH30" i="72"/>
  <c r="BO30" i="72"/>
  <c r="AY30" i="72"/>
  <c r="CH30" i="72"/>
  <c r="BN30" i="72"/>
  <c r="AX30" i="72"/>
  <c r="CE30" i="72"/>
  <c r="BL30" i="72"/>
  <c r="AV30" i="72"/>
  <c r="BG30" i="72"/>
  <c r="AQ30" i="72"/>
  <c r="AP30" i="72"/>
  <c r="BB30" i="71"/>
  <c r="BA30" i="71"/>
  <c r="N30" i="71" s="1"/>
  <c r="CV31" i="71"/>
  <c r="CN31" i="71"/>
  <c r="CS31" i="71"/>
  <c r="CP31" i="71"/>
  <c r="BY31" i="71"/>
  <c r="BQ31" i="71"/>
  <c r="BI31" i="71"/>
  <c r="AS31" i="71"/>
  <c r="AK31" i="71"/>
  <c r="D31" i="71"/>
  <c r="CF31" i="71"/>
  <c r="BX31" i="71"/>
  <c r="BP31" i="71"/>
  <c r="AZ31" i="71"/>
  <c r="AR31" i="71"/>
  <c r="AJ31" i="71"/>
  <c r="BO31" i="71"/>
  <c r="BG31" i="71"/>
  <c r="AY31" i="71"/>
  <c r="AQ31" i="71"/>
  <c r="AI31" i="71"/>
  <c r="CU31" i="71"/>
  <c r="BU31" i="71"/>
  <c r="BM31" i="71"/>
  <c r="AW31" i="71"/>
  <c r="AO31" i="71"/>
  <c r="AG31" i="71"/>
  <c r="CR31" i="71"/>
  <c r="BS31" i="71"/>
  <c r="BK31" i="71"/>
  <c r="AU31" i="71"/>
  <c r="AM31" i="71"/>
  <c r="BJ31" i="71"/>
  <c r="AT31" i="71"/>
  <c r="CW31" i="71"/>
  <c r="AP31" i="71"/>
  <c r="BZ31" i="71"/>
  <c r="AN31" i="71"/>
  <c r="BV31" i="71"/>
  <c r="AL31" i="71"/>
  <c r="BT31" i="71"/>
  <c r="AH31" i="71"/>
  <c r="CH31" i="71"/>
  <c r="CD31" i="71"/>
  <c r="AX31" i="71"/>
  <c r="AV31" i="71"/>
  <c r="BN31" i="71"/>
  <c r="BL31" i="71"/>
  <c r="B32" i="71"/>
  <c r="AL26" i="23" s="1"/>
  <c r="Q26" i="25" s="1"/>
  <c r="A33" i="71"/>
  <c r="AK27" i="23" s="1"/>
  <c r="P27" i="25" s="1"/>
  <c r="B32" i="69"/>
  <c r="AD26" i="23" s="1"/>
  <c r="G26" i="25" s="1"/>
  <c r="A33" i="69"/>
  <c r="AC27" i="23" s="1"/>
  <c r="F27" i="25" s="1"/>
  <c r="BB30" i="69"/>
  <c r="BA30" i="69"/>
  <c r="N30" i="69" s="1"/>
  <c r="CV31" i="69"/>
  <c r="CN31" i="69"/>
  <c r="CF31" i="69"/>
  <c r="CS31" i="69"/>
  <c r="CO31" i="69"/>
  <c r="CD31" i="69"/>
  <c r="BV31" i="69"/>
  <c r="BN31" i="69"/>
  <c r="AX31" i="69"/>
  <c r="AP31" i="69"/>
  <c r="AH31" i="69"/>
  <c r="BU31" i="69"/>
  <c r="BM31" i="69"/>
  <c r="AW31" i="69"/>
  <c r="AO31" i="69"/>
  <c r="AG31" i="69"/>
  <c r="BS31" i="69"/>
  <c r="BI31" i="69"/>
  <c r="AQ31" i="69"/>
  <c r="CP31" i="69"/>
  <c r="BR31" i="69"/>
  <c r="BH31" i="69"/>
  <c r="AZ31" i="69"/>
  <c r="AN31" i="69"/>
  <c r="D31" i="69"/>
  <c r="BQ31" i="69"/>
  <c r="BG31" i="69"/>
  <c r="AY31" i="69"/>
  <c r="AM31" i="69"/>
  <c r="BZ31" i="69"/>
  <c r="BP31" i="69"/>
  <c r="AV31" i="69"/>
  <c r="AL31" i="69"/>
  <c r="CW31" i="69"/>
  <c r="BY31" i="69"/>
  <c r="AU31" i="69"/>
  <c r="AK31" i="69"/>
  <c r="CU31" i="69"/>
  <c r="CH31" i="69"/>
  <c r="BX31" i="69"/>
  <c r="BL31" i="69"/>
  <c r="AT31" i="69"/>
  <c r="AJ31" i="69"/>
  <c r="CT31" i="69"/>
  <c r="BW31" i="69"/>
  <c r="BK31" i="69"/>
  <c r="AS31" i="69"/>
  <c r="AI31" i="69"/>
  <c r="AR31" i="69"/>
  <c r="CR31" i="69"/>
  <c r="CE31" i="69"/>
  <c r="BB30" i="68"/>
  <c r="BA30" i="68"/>
  <c r="N30" i="68" s="1"/>
  <c r="B32" i="68"/>
  <c r="Z26" i="23" s="1"/>
  <c r="B26" i="25" s="1"/>
  <c r="A33" i="68"/>
  <c r="Y27" i="23" s="1"/>
  <c r="A27" i="25" s="1"/>
  <c r="BS31" i="68"/>
  <c r="BK31" i="68"/>
  <c r="AU31" i="68"/>
  <c r="AM31" i="68"/>
  <c r="CV31" i="68"/>
  <c r="CN31" i="68"/>
  <c r="CF31" i="68"/>
  <c r="BX31" i="68"/>
  <c r="BP31" i="68"/>
  <c r="BH31" i="68"/>
  <c r="AZ31" i="68"/>
  <c r="AR31" i="68"/>
  <c r="AJ31" i="68"/>
  <c r="CP31" i="68"/>
  <c r="CE31" i="68"/>
  <c r="BU31" i="68"/>
  <c r="AP31" i="68"/>
  <c r="CO31" i="68"/>
  <c r="CD31" i="68"/>
  <c r="BI31" i="68"/>
  <c r="AY31" i="68"/>
  <c r="AO31" i="68"/>
  <c r="BR31" i="68"/>
  <c r="BG31" i="68"/>
  <c r="AX31" i="68"/>
  <c r="AN31" i="68"/>
  <c r="D31" i="68"/>
  <c r="AB25" i="23" s="1"/>
  <c r="E25" i="25" s="1"/>
  <c r="CW31" i="68"/>
  <c r="BQ31" i="68"/>
  <c r="AW31" i="68"/>
  <c r="AL31" i="68"/>
  <c r="CU31" i="68"/>
  <c r="BZ31" i="68"/>
  <c r="AV31" i="68"/>
  <c r="AK31" i="68"/>
  <c r="CT31" i="68"/>
  <c r="BY31" i="68"/>
  <c r="BN31" i="68"/>
  <c r="AT31" i="68"/>
  <c r="AI31" i="68"/>
  <c r="CS31" i="68"/>
  <c r="BW31" i="68"/>
  <c r="BM31" i="68"/>
  <c r="AS31" i="68"/>
  <c r="AH31" i="68"/>
  <c r="AQ31" i="68"/>
  <c r="BV31" i="68"/>
  <c r="AG31" i="68"/>
  <c r="BL31" i="68"/>
  <c r="CR31" i="68"/>
  <c r="BB30" i="65"/>
  <c r="BA30" i="65"/>
  <c r="N30" i="65" s="1"/>
  <c r="A33" i="65"/>
  <c r="M27" i="23" s="1"/>
  <c r="P27" i="24" s="1"/>
  <c r="B32" i="65"/>
  <c r="N26" i="23" s="1"/>
  <c r="Q26" i="24" s="1"/>
  <c r="BS31" i="65"/>
  <c r="BK31" i="65"/>
  <c r="AU31" i="65"/>
  <c r="AM31" i="65"/>
  <c r="CP31" i="65"/>
  <c r="CH31" i="65"/>
  <c r="BZ31" i="65"/>
  <c r="BR31" i="65"/>
  <c r="BJ31" i="65"/>
  <c r="CV31" i="65"/>
  <c r="CN31" i="65"/>
  <c r="BX31" i="65"/>
  <c r="BP31" i="65"/>
  <c r="BH31" i="65"/>
  <c r="AZ31" i="65"/>
  <c r="AR31" i="65"/>
  <c r="AJ31" i="65"/>
  <c r="CW31" i="65"/>
  <c r="BW31" i="65"/>
  <c r="BL31" i="65"/>
  <c r="AP31" i="65"/>
  <c r="CU31" i="65"/>
  <c r="BV31" i="65"/>
  <c r="AY31" i="65"/>
  <c r="AO31" i="65"/>
  <c r="CR31" i="65"/>
  <c r="BG31" i="65"/>
  <c r="AV31" i="65"/>
  <c r="AH31" i="65"/>
  <c r="CO31" i="65"/>
  <c r="BY31" i="65"/>
  <c r="AT31" i="65"/>
  <c r="AG31" i="65"/>
  <c r="BU31" i="65"/>
  <c r="AS31" i="65"/>
  <c r="D31" i="65"/>
  <c r="P25" i="23" s="1"/>
  <c r="T25" i="24" s="1"/>
  <c r="BT31" i="65"/>
  <c r="AQ31" i="65"/>
  <c r="CE31" i="65"/>
  <c r="BO31" i="65"/>
  <c r="AL31" i="65"/>
  <c r="CT31" i="65"/>
  <c r="CD31" i="65"/>
  <c r="AX31" i="65"/>
  <c r="AK31" i="65"/>
  <c r="CS31" i="65"/>
  <c r="BM31" i="65"/>
  <c r="AW31" i="65"/>
  <c r="AI31" i="65"/>
  <c r="AN31" i="65"/>
  <c r="BQ31" i="65"/>
  <c r="CA30" i="64"/>
  <c r="O30" i="64" s="1"/>
  <c r="CV31" i="64"/>
  <c r="CN31" i="64"/>
  <c r="CS31" i="64"/>
  <c r="BT31" i="64"/>
  <c r="BL31" i="64"/>
  <c r="AV31" i="64"/>
  <c r="AN31" i="64"/>
  <c r="CR31" i="64"/>
  <c r="BS31" i="64"/>
  <c r="BK31" i="64"/>
  <c r="AU31" i="64"/>
  <c r="AM31" i="64"/>
  <c r="CH31" i="64"/>
  <c r="BZ31" i="64"/>
  <c r="BR31" i="64"/>
  <c r="BJ31" i="64"/>
  <c r="AT31" i="64"/>
  <c r="AL31" i="64"/>
  <c r="BX31" i="64"/>
  <c r="BM31" i="64"/>
  <c r="AP31" i="64"/>
  <c r="CW31" i="64"/>
  <c r="BW31" i="64"/>
  <c r="BI31" i="64"/>
  <c r="AZ31" i="64"/>
  <c r="AO31" i="64"/>
  <c r="CU31" i="64"/>
  <c r="CF31" i="64"/>
  <c r="BV31" i="64"/>
  <c r="BH31" i="64"/>
  <c r="AY31" i="64"/>
  <c r="AK31" i="64"/>
  <c r="CT31" i="64"/>
  <c r="CE31" i="64"/>
  <c r="BU31" i="64"/>
  <c r="BG31" i="64"/>
  <c r="AX31" i="64"/>
  <c r="AJ31" i="64"/>
  <c r="CP31" i="64"/>
  <c r="BQ31" i="64"/>
  <c r="AW31" i="64"/>
  <c r="AI31" i="64"/>
  <c r="CO31" i="64"/>
  <c r="BP31" i="64"/>
  <c r="AS31" i="64"/>
  <c r="AH31" i="64"/>
  <c r="BO31" i="64"/>
  <c r="AR31" i="64"/>
  <c r="AG31" i="64"/>
  <c r="BY31" i="64"/>
  <c r="BN31" i="64"/>
  <c r="AQ31" i="64"/>
  <c r="D31" i="64"/>
  <c r="L25" i="23" s="1"/>
  <c r="O25" i="24" s="1"/>
  <c r="B32" i="64"/>
  <c r="J26" i="23" s="1"/>
  <c r="L26" i="24" s="1"/>
  <c r="A33" i="64"/>
  <c r="I27" i="23" s="1"/>
  <c r="K27" i="24" s="1"/>
  <c r="BB30" i="64"/>
  <c r="BA30" i="64"/>
  <c r="N30" i="64" s="1"/>
  <c r="Q29" i="64"/>
  <c r="CV31" i="63"/>
  <c r="CN31" i="63"/>
  <c r="CS31" i="63"/>
  <c r="CO31" i="63"/>
  <c r="CE31" i="63"/>
  <c r="BW31" i="63"/>
  <c r="BO31" i="63"/>
  <c r="BG31" i="63"/>
  <c r="AY31" i="63"/>
  <c r="AQ31" i="63"/>
  <c r="AI31" i="63"/>
  <c r="CD31" i="63"/>
  <c r="BV31" i="63"/>
  <c r="BN31" i="63"/>
  <c r="AX31" i="63"/>
  <c r="AP31" i="63"/>
  <c r="AH31" i="63"/>
  <c r="CU31" i="63"/>
  <c r="BT31" i="63"/>
  <c r="BL31" i="63"/>
  <c r="AV31" i="63"/>
  <c r="AN31" i="63"/>
  <c r="BQ31" i="63"/>
  <c r="AT31" i="63"/>
  <c r="AG31" i="63"/>
  <c r="CP31" i="63"/>
  <c r="BP31" i="63"/>
  <c r="AS31" i="63"/>
  <c r="BZ31" i="63"/>
  <c r="BM31" i="63"/>
  <c r="AR31" i="63"/>
  <c r="BY31" i="63"/>
  <c r="AO31" i="63"/>
  <c r="D31" i="63"/>
  <c r="H25" i="23" s="1"/>
  <c r="J25" i="24" s="1"/>
  <c r="BX31" i="63"/>
  <c r="BJ31" i="63"/>
  <c r="AM31" i="63"/>
  <c r="CW31" i="63"/>
  <c r="BU31" i="63"/>
  <c r="BS31" i="63"/>
  <c r="AZ31" i="63"/>
  <c r="BR31" i="63"/>
  <c r="AW31" i="63"/>
  <c r="BI31" i="63"/>
  <c r="AU31" i="63"/>
  <c r="CT31" i="63"/>
  <c r="BH31" i="63"/>
  <c r="AL31" i="63"/>
  <c r="CR31" i="63"/>
  <c r="AK31" i="63"/>
  <c r="CF31" i="63"/>
  <c r="AJ31" i="63"/>
  <c r="BB30" i="63"/>
  <c r="BA30" i="63"/>
  <c r="N30" i="63" s="1"/>
  <c r="B32" i="63"/>
  <c r="F26" i="23" s="1"/>
  <c r="G26" i="24" s="1"/>
  <c r="A33" i="63"/>
  <c r="E27" i="23" s="1"/>
  <c r="F27" i="24" s="1"/>
  <c r="CA30" i="70" l="1"/>
  <c r="O30" i="70" s="1"/>
  <c r="AJ24" i="23"/>
  <c r="O24" i="25"/>
  <c r="AG26" i="23"/>
  <c r="K26" i="25" s="1"/>
  <c r="A33" i="70"/>
  <c r="B32" i="70"/>
  <c r="AH25" i="23"/>
  <c r="L25" i="25" s="1"/>
  <c r="CK31" i="70"/>
  <c r="BX31" i="70"/>
  <c r="BW31" i="70"/>
  <c r="AG31" i="70"/>
  <c r="AY31" i="70"/>
  <c r="BQ31" i="70"/>
  <c r="CT31" i="70"/>
  <c r="CG31" i="70"/>
  <c r="BS31" i="70"/>
  <c r="BP31" i="70"/>
  <c r="BM31" i="70"/>
  <c r="CP31" i="70"/>
  <c r="AO31" i="70"/>
  <c r="AW31" i="70"/>
  <c r="BY31" i="70"/>
  <c r="CL31" i="70"/>
  <c r="BK31" i="70"/>
  <c r="BH31" i="70"/>
  <c r="AS31" i="70"/>
  <c r="BU31" i="70"/>
  <c r="BR31" i="70"/>
  <c r="AL31" i="70"/>
  <c r="BN31" i="70"/>
  <c r="CQ31" i="70"/>
  <c r="AU31" i="70"/>
  <c r="AZ31" i="70"/>
  <c r="AH31" i="70"/>
  <c r="BJ31" i="70"/>
  <c r="BG31" i="70"/>
  <c r="CU31" i="70"/>
  <c r="AT31" i="70"/>
  <c r="CM31" i="70"/>
  <c r="AM31" i="70"/>
  <c r="AR31" i="70"/>
  <c r="CR31" i="70"/>
  <c r="AP31" i="70"/>
  <c r="AX31" i="70"/>
  <c r="BZ31" i="70"/>
  <c r="AI31" i="70"/>
  <c r="CJ31" i="70"/>
  <c r="CV31" i="70"/>
  <c r="AJ31" i="70"/>
  <c r="BV31" i="70"/>
  <c r="CD31" i="70"/>
  <c r="AN31" i="70"/>
  <c r="BO31" i="70"/>
  <c r="CN31" i="70"/>
  <c r="CS31" i="70"/>
  <c r="BL31" i="70"/>
  <c r="BT31" i="70"/>
  <c r="D31" i="70"/>
  <c r="AV31" i="70"/>
  <c r="CI31" i="70"/>
  <c r="CF31" i="70"/>
  <c r="CH31" i="70"/>
  <c r="AQ31" i="70"/>
  <c r="BI31" i="70"/>
  <c r="CW31" i="70"/>
  <c r="AK31" i="70"/>
  <c r="BB30" i="70"/>
  <c r="BA30" i="70"/>
  <c r="N30" i="70" s="1"/>
  <c r="AF25" i="23"/>
  <c r="J25" i="25"/>
  <c r="T25" i="25"/>
  <c r="AN25" i="23"/>
  <c r="AD25" i="25"/>
  <c r="AV25" i="23"/>
  <c r="V25" i="23"/>
  <c r="AA25" i="24" s="1"/>
  <c r="CJ31" i="67"/>
  <c r="CF31" i="67"/>
  <c r="CO31" i="67"/>
  <c r="AW31" i="67"/>
  <c r="CU31" i="67"/>
  <c r="BJ31" i="67"/>
  <c r="AJ31" i="67"/>
  <c r="CH31" i="67"/>
  <c r="CK31" i="67"/>
  <c r="CS31" i="67"/>
  <c r="BV31" i="67"/>
  <c r="AO31" i="67"/>
  <c r="BS31" i="67"/>
  <c r="AT31" i="67"/>
  <c r="CL31" i="67"/>
  <c r="CP31" i="67"/>
  <c r="BN31" i="67"/>
  <c r="AG31" i="67"/>
  <c r="BK31" i="67"/>
  <c r="AL31" i="67"/>
  <c r="BY31" i="67"/>
  <c r="CM31" i="67"/>
  <c r="BW31" i="67"/>
  <c r="AX31" i="67"/>
  <c r="CW31" i="67"/>
  <c r="AU31" i="67"/>
  <c r="BX31" i="67"/>
  <c r="AS31" i="67"/>
  <c r="BO31" i="67"/>
  <c r="AP31" i="67"/>
  <c r="BT31" i="67"/>
  <c r="AM31" i="67"/>
  <c r="BP31" i="67"/>
  <c r="AK31" i="67"/>
  <c r="CI31" i="67"/>
  <c r="AY31" i="67"/>
  <c r="AH31" i="67"/>
  <c r="BL31" i="67"/>
  <c r="CT31" i="67"/>
  <c r="BH31" i="67"/>
  <c r="D31" i="67"/>
  <c r="X25" i="23" s="1"/>
  <c r="AD25" i="24" s="1"/>
  <c r="CQ31" i="67"/>
  <c r="AQ31" i="67"/>
  <c r="BU31" i="67"/>
  <c r="AV31" i="67"/>
  <c r="BZ31" i="67"/>
  <c r="AZ31" i="67"/>
  <c r="BI31" i="67"/>
  <c r="CG31" i="67"/>
  <c r="CV31" i="67"/>
  <c r="AI31" i="67"/>
  <c r="BM31" i="67"/>
  <c r="AN31" i="67"/>
  <c r="BR31" i="67"/>
  <c r="AR31" i="67"/>
  <c r="CR31" i="67"/>
  <c r="CA30" i="67"/>
  <c r="O30" i="67" s="1"/>
  <c r="U26" i="23"/>
  <c r="Z26" i="24" s="1"/>
  <c r="B32" i="67"/>
  <c r="A33" i="67"/>
  <c r="Y24" i="25"/>
  <c r="AR24" i="23"/>
  <c r="Q29" i="67"/>
  <c r="BB30" i="67"/>
  <c r="BA30" i="67"/>
  <c r="N30" i="67" s="1"/>
  <c r="CA30" i="66"/>
  <c r="O30" i="66" s="1"/>
  <c r="R25" i="23"/>
  <c r="V25" i="24" s="1"/>
  <c r="CG31" i="66"/>
  <c r="BR31" i="66"/>
  <c r="AK31" i="66"/>
  <c r="AR31" i="66"/>
  <c r="AM31" i="66"/>
  <c r="AH31" i="66"/>
  <c r="BS31" i="66"/>
  <c r="AI31" i="66"/>
  <c r="CM31" i="66"/>
  <c r="BJ31" i="66"/>
  <c r="D31" i="66"/>
  <c r="T25" i="23" s="1"/>
  <c r="Y25" i="24" s="1"/>
  <c r="AJ31" i="66"/>
  <c r="BV31" i="66"/>
  <c r="CW31" i="66"/>
  <c r="AQ31" i="66"/>
  <c r="BO31" i="66"/>
  <c r="CJ31" i="66"/>
  <c r="CV31" i="66"/>
  <c r="AT31" i="66"/>
  <c r="CP31" i="66"/>
  <c r="BM31" i="66"/>
  <c r="BK31" i="66"/>
  <c r="CE31" i="66"/>
  <c r="CT31" i="66"/>
  <c r="BT31" i="66"/>
  <c r="CK31" i="66"/>
  <c r="CN31" i="66"/>
  <c r="AL31" i="66"/>
  <c r="CF31" i="66"/>
  <c r="AY31" i="66"/>
  <c r="AW31" i="66"/>
  <c r="AU31" i="66"/>
  <c r="CQ31" i="66"/>
  <c r="CS31" i="66"/>
  <c r="BY31" i="66"/>
  <c r="BX31" i="66"/>
  <c r="AN31" i="66"/>
  <c r="AP31" i="66"/>
  <c r="CL31" i="66"/>
  <c r="CR31" i="66"/>
  <c r="BQ31" i="66"/>
  <c r="BP31" i="66"/>
  <c r="BW31" i="66"/>
  <c r="BU31" i="66"/>
  <c r="AG31" i="66"/>
  <c r="CO31" i="66"/>
  <c r="CD31" i="66"/>
  <c r="CH31" i="66"/>
  <c r="BI31" i="66"/>
  <c r="BH31" i="66"/>
  <c r="BL31" i="66"/>
  <c r="BG31" i="66"/>
  <c r="CU31" i="66"/>
  <c r="BN31" i="66"/>
  <c r="AV31" i="66"/>
  <c r="CI31" i="66"/>
  <c r="BZ31" i="66"/>
  <c r="AS31" i="66"/>
  <c r="AZ31" i="66"/>
  <c r="AX31" i="66"/>
  <c r="AO31" i="66"/>
  <c r="Q26" i="23"/>
  <c r="U26" i="24" s="1"/>
  <c r="B32" i="66"/>
  <c r="A33" i="66"/>
  <c r="BA30" i="66"/>
  <c r="N30" i="66" s="1"/>
  <c r="Y29" i="66" s="1"/>
  <c r="Y40" i="66" s="1"/>
  <c r="BB30" i="66"/>
  <c r="CI32" i="69"/>
  <c r="CJ32" i="69"/>
  <c r="CK32" i="69"/>
  <c r="CL32" i="69"/>
  <c r="CM32" i="69"/>
  <c r="CG32" i="69"/>
  <c r="CQ32" i="69"/>
  <c r="CQ32" i="71"/>
  <c r="CI32" i="71"/>
  <c r="CJ32" i="71"/>
  <c r="CK32" i="71"/>
  <c r="CL32" i="71"/>
  <c r="CG32" i="71"/>
  <c r="CM32" i="71"/>
  <c r="CQ32" i="73"/>
  <c r="CJ32" i="73"/>
  <c r="CK32" i="73"/>
  <c r="CL32" i="73"/>
  <c r="CG32" i="73"/>
  <c r="CI32" i="73"/>
  <c r="CM32" i="73"/>
  <c r="CI32" i="68"/>
  <c r="CQ32" i="68"/>
  <c r="CJ32" i="68"/>
  <c r="CK32" i="68"/>
  <c r="CL32" i="68"/>
  <c r="CG32" i="68"/>
  <c r="CM32" i="68"/>
  <c r="CJ31" i="72"/>
  <c r="CK31" i="72"/>
  <c r="CG31" i="72"/>
  <c r="CL31" i="72"/>
  <c r="CQ31" i="72"/>
  <c r="CM31" i="72"/>
  <c r="CI31" i="72"/>
  <c r="CI32" i="65"/>
  <c r="CQ32" i="65"/>
  <c r="CJ32" i="65"/>
  <c r="CK32" i="65"/>
  <c r="CL32" i="65"/>
  <c r="CI32" i="64"/>
  <c r="CL32" i="64"/>
  <c r="CM32" i="64"/>
  <c r="CQ32" i="64"/>
  <c r="CJ32" i="64"/>
  <c r="CK32" i="64"/>
  <c r="CG32" i="64"/>
  <c r="CI32" i="63"/>
  <c r="CJ32" i="63"/>
  <c r="CK32" i="63"/>
  <c r="CL32" i="63"/>
  <c r="CM32" i="63"/>
  <c r="CG32" i="63"/>
  <c r="CQ32" i="63"/>
  <c r="CX31" i="73"/>
  <c r="P31" i="73" s="1"/>
  <c r="Q30" i="64"/>
  <c r="Q30" i="73"/>
  <c r="BS32" i="73"/>
  <c r="BK32" i="73"/>
  <c r="AU32" i="73"/>
  <c r="AM32" i="73"/>
  <c r="CP32" i="73"/>
  <c r="CH32" i="73"/>
  <c r="BZ32" i="73"/>
  <c r="BR32" i="73"/>
  <c r="BJ32" i="73"/>
  <c r="AT32" i="73"/>
  <c r="AL32" i="73"/>
  <c r="CV32" i="73"/>
  <c r="CN32" i="73"/>
  <c r="CF32" i="73"/>
  <c r="BX32" i="73"/>
  <c r="BP32" i="73"/>
  <c r="BH32" i="73"/>
  <c r="AZ32" i="73"/>
  <c r="AR32" i="73"/>
  <c r="AJ32" i="73"/>
  <c r="CW32" i="73"/>
  <c r="BW32" i="73"/>
  <c r="BL32" i="73"/>
  <c r="AY32" i="73"/>
  <c r="AN32" i="73"/>
  <c r="CU32" i="73"/>
  <c r="BV32" i="73"/>
  <c r="BI32" i="73"/>
  <c r="AX32" i="73"/>
  <c r="AK32" i="73"/>
  <c r="CS32" i="73"/>
  <c r="CE32" i="73"/>
  <c r="BT32" i="73"/>
  <c r="AV32" i="73"/>
  <c r="AH32" i="73"/>
  <c r="CO32" i="73"/>
  <c r="BO32" i="73"/>
  <c r="AQ32" i="73"/>
  <c r="BY32" i="73"/>
  <c r="BM32" i="73"/>
  <c r="AO32" i="73"/>
  <c r="CD32" i="73"/>
  <c r="D32" i="73"/>
  <c r="BU32" i="73"/>
  <c r="AW32" i="73"/>
  <c r="CT32" i="73"/>
  <c r="BQ32" i="73"/>
  <c r="AS32" i="73"/>
  <c r="CR32" i="73"/>
  <c r="BN32" i="73"/>
  <c r="AP32" i="73"/>
  <c r="BG32" i="73"/>
  <c r="AI32" i="73"/>
  <c r="AG32" i="73"/>
  <c r="CA31" i="73"/>
  <c r="O31" i="73" s="1"/>
  <c r="A34" i="73"/>
  <c r="AS28" i="23" s="1"/>
  <c r="Z28" i="25" s="1"/>
  <c r="B33" i="73"/>
  <c r="AT27" i="23" s="1"/>
  <c r="AA27" i="25" s="1"/>
  <c r="BB31" i="73"/>
  <c r="BA31" i="73"/>
  <c r="N31" i="73" s="1"/>
  <c r="A33" i="72"/>
  <c r="AO27" i="23" s="1"/>
  <c r="U27" i="25" s="1"/>
  <c r="B32" i="72"/>
  <c r="AP26" i="23" s="1"/>
  <c r="V26" i="25" s="1"/>
  <c r="BS31" i="72"/>
  <c r="AU31" i="72"/>
  <c r="AM31" i="72"/>
  <c r="CP31" i="72"/>
  <c r="BR31" i="72"/>
  <c r="BJ31" i="72"/>
  <c r="AT31" i="72"/>
  <c r="AL31" i="72"/>
  <c r="CV31" i="72"/>
  <c r="CN31" i="72"/>
  <c r="CF31" i="72"/>
  <c r="BX31" i="72"/>
  <c r="BP31" i="72"/>
  <c r="BH31" i="72"/>
  <c r="AZ31" i="72"/>
  <c r="AR31" i="72"/>
  <c r="AJ31" i="72"/>
  <c r="BY31" i="72"/>
  <c r="BM31" i="72"/>
  <c r="AO31" i="72"/>
  <c r="D31" i="72"/>
  <c r="CU31" i="72"/>
  <c r="BV31" i="72"/>
  <c r="BI31" i="72"/>
  <c r="AX31" i="72"/>
  <c r="AK31" i="72"/>
  <c r="CT31" i="72"/>
  <c r="BU31" i="72"/>
  <c r="BG31" i="72"/>
  <c r="AW31" i="72"/>
  <c r="AI31" i="72"/>
  <c r="CS31" i="72"/>
  <c r="CE31" i="72"/>
  <c r="BT31" i="72"/>
  <c r="AV31" i="72"/>
  <c r="AH31" i="72"/>
  <c r="CR31" i="72"/>
  <c r="CD31" i="72"/>
  <c r="BQ31" i="72"/>
  <c r="AS31" i="72"/>
  <c r="AG31" i="72"/>
  <c r="BW31" i="72"/>
  <c r="AY31" i="72"/>
  <c r="BO31" i="72"/>
  <c r="AQ31" i="72"/>
  <c r="BN31" i="72"/>
  <c r="AP31" i="72"/>
  <c r="CO31" i="72"/>
  <c r="BL31" i="72"/>
  <c r="AN31" i="72"/>
  <c r="BB30" i="72"/>
  <c r="BA30" i="72"/>
  <c r="N30" i="72" s="1"/>
  <c r="A34" i="71"/>
  <c r="AK28" i="23" s="1"/>
  <c r="P28" i="25" s="1"/>
  <c r="B33" i="71"/>
  <c r="AL27" i="23" s="1"/>
  <c r="Q27" i="25" s="1"/>
  <c r="BK32" i="71"/>
  <c r="AU32" i="71"/>
  <c r="AM32" i="71"/>
  <c r="BZ32" i="71"/>
  <c r="BR32" i="71"/>
  <c r="BJ32" i="71"/>
  <c r="AT32" i="71"/>
  <c r="AL32" i="71"/>
  <c r="CV32" i="71"/>
  <c r="CN32" i="71"/>
  <c r="BP32" i="71"/>
  <c r="BH32" i="71"/>
  <c r="AZ32" i="71"/>
  <c r="AR32" i="71"/>
  <c r="AJ32" i="71"/>
  <c r="CW32" i="71"/>
  <c r="BW32" i="71"/>
  <c r="BL32" i="71"/>
  <c r="AY32" i="71"/>
  <c r="AN32" i="71"/>
  <c r="BV32" i="71"/>
  <c r="AX32" i="71"/>
  <c r="AK32" i="71"/>
  <c r="CT32" i="71"/>
  <c r="BU32" i="71"/>
  <c r="BG32" i="71"/>
  <c r="AW32" i="71"/>
  <c r="AI32" i="71"/>
  <c r="CD32" i="71"/>
  <c r="BQ32" i="71"/>
  <c r="AS32" i="71"/>
  <c r="AG32" i="71"/>
  <c r="CO32" i="71"/>
  <c r="BN32" i="71"/>
  <c r="AP32" i="71"/>
  <c r="BY32" i="71"/>
  <c r="BT32" i="71"/>
  <c r="AV32" i="71"/>
  <c r="BO32" i="71"/>
  <c r="AQ32" i="71"/>
  <c r="CS32" i="71"/>
  <c r="BM32" i="71"/>
  <c r="AO32" i="71"/>
  <c r="AH32" i="71"/>
  <c r="CE32" i="71"/>
  <c r="D32" i="71"/>
  <c r="BB31" i="71"/>
  <c r="BA31" i="71"/>
  <c r="N31" i="71" s="1"/>
  <c r="BB31" i="69"/>
  <c r="BA31" i="69"/>
  <c r="N31" i="69" s="1"/>
  <c r="A34" i="69"/>
  <c r="AC28" i="23" s="1"/>
  <c r="F28" i="25" s="1"/>
  <c r="B33" i="69"/>
  <c r="AD27" i="23" s="1"/>
  <c r="G27" i="25" s="1"/>
  <c r="BS32" i="69"/>
  <c r="AU32" i="69"/>
  <c r="AM32" i="69"/>
  <c r="CV32" i="69"/>
  <c r="CN32" i="69"/>
  <c r="CF32" i="69"/>
  <c r="BX32" i="69"/>
  <c r="BH32" i="69"/>
  <c r="AZ32" i="69"/>
  <c r="AR32" i="69"/>
  <c r="AJ32" i="69"/>
  <c r="CU32" i="69"/>
  <c r="BZ32" i="69"/>
  <c r="BO32" i="69"/>
  <c r="AV32" i="69"/>
  <c r="AK32" i="69"/>
  <c r="CT32" i="69"/>
  <c r="BY32" i="69"/>
  <c r="BN32" i="69"/>
  <c r="AT32" i="69"/>
  <c r="AI32" i="69"/>
  <c r="CD32" i="69"/>
  <c r="BQ32" i="69"/>
  <c r="AQ32" i="69"/>
  <c r="CP32" i="69"/>
  <c r="BM32" i="69"/>
  <c r="AP32" i="69"/>
  <c r="D32" i="69"/>
  <c r="CO32" i="69"/>
  <c r="BL32" i="69"/>
  <c r="AO32" i="69"/>
  <c r="BW32" i="69"/>
  <c r="BJ32" i="69"/>
  <c r="AN32" i="69"/>
  <c r="BV32" i="69"/>
  <c r="BI32" i="69"/>
  <c r="AY32" i="69"/>
  <c r="AL32" i="69"/>
  <c r="BG32" i="69"/>
  <c r="AX32" i="69"/>
  <c r="AH32" i="69"/>
  <c r="CW32" i="69"/>
  <c r="BT32" i="69"/>
  <c r="AW32" i="69"/>
  <c r="AG32" i="69"/>
  <c r="CS32" i="69"/>
  <c r="CE32" i="69"/>
  <c r="AS32" i="69"/>
  <c r="BR32" i="69"/>
  <c r="BB31" i="68"/>
  <c r="BA31" i="68"/>
  <c r="N31" i="68" s="1"/>
  <c r="B33" i="68"/>
  <c r="Z27" i="23" s="1"/>
  <c r="B27" i="25" s="1"/>
  <c r="A34" i="68"/>
  <c r="Y28" i="23" s="1"/>
  <c r="A28" i="25" s="1"/>
  <c r="CT32" i="68"/>
  <c r="CD32" i="68"/>
  <c r="BV32" i="68"/>
  <c r="BN32" i="68"/>
  <c r="AX32" i="68"/>
  <c r="AP32" i="68"/>
  <c r="AH32" i="68"/>
  <c r="CS32" i="68"/>
  <c r="BM32" i="68"/>
  <c r="AW32" i="68"/>
  <c r="AO32" i="68"/>
  <c r="AG32" i="68"/>
  <c r="BS32" i="68"/>
  <c r="AU32" i="68"/>
  <c r="AM32" i="68"/>
  <c r="CV32" i="68"/>
  <c r="BX32" i="68"/>
  <c r="BJ32" i="68"/>
  <c r="AQ32" i="68"/>
  <c r="CU32" i="68"/>
  <c r="BW32" i="68"/>
  <c r="BI32" i="68"/>
  <c r="AN32" i="68"/>
  <c r="CF32" i="68"/>
  <c r="BT32" i="68"/>
  <c r="BH32" i="68"/>
  <c r="AZ32" i="68"/>
  <c r="AL32" i="68"/>
  <c r="CP32" i="68"/>
  <c r="CE32" i="68"/>
  <c r="BR32" i="68"/>
  <c r="BG32" i="68"/>
  <c r="AY32" i="68"/>
  <c r="AK32" i="68"/>
  <c r="CO32" i="68"/>
  <c r="BQ32" i="68"/>
  <c r="AV32" i="68"/>
  <c r="AJ32" i="68"/>
  <c r="CN32" i="68"/>
  <c r="AT32" i="68"/>
  <c r="AI32" i="68"/>
  <c r="BZ32" i="68"/>
  <c r="BO32" i="68"/>
  <c r="AS32" i="68"/>
  <c r="BL32" i="68"/>
  <c r="CW32" i="68"/>
  <c r="AR32" i="68"/>
  <c r="D32" i="68"/>
  <c r="AB26" i="23" s="1"/>
  <c r="E26" i="25" s="1"/>
  <c r="BY32" i="68"/>
  <c r="CT32" i="65"/>
  <c r="CD32" i="65"/>
  <c r="BV32" i="65"/>
  <c r="BN32" i="65"/>
  <c r="AX32" i="65"/>
  <c r="AP32" i="65"/>
  <c r="AH32" i="65"/>
  <c r="CS32" i="65"/>
  <c r="BU32" i="65"/>
  <c r="BM32" i="65"/>
  <c r="AW32" i="65"/>
  <c r="AO32" i="65"/>
  <c r="AG32" i="65"/>
  <c r="BS32" i="65"/>
  <c r="BK32" i="65"/>
  <c r="AU32" i="65"/>
  <c r="AM32" i="65"/>
  <c r="CP32" i="65"/>
  <c r="CE32" i="65"/>
  <c r="BR32" i="65"/>
  <c r="BG32" i="65"/>
  <c r="AY32" i="65"/>
  <c r="AK32" i="65"/>
  <c r="CO32" i="65"/>
  <c r="BQ32" i="65"/>
  <c r="AV32" i="65"/>
  <c r="AJ32" i="65"/>
  <c r="CN32" i="65"/>
  <c r="BZ32" i="65"/>
  <c r="AI32" i="65"/>
  <c r="BY32" i="65"/>
  <c r="BI32" i="65"/>
  <c r="AZ32" i="65"/>
  <c r="BX32" i="65"/>
  <c r="BH32" i="65"/>
  <c r="AT32" i="65"/>
  <c r="D32" i="65"/>
  <c r="P26" i="23" s="1"/>
  <c r="T26" i="24" s="1"/>
  <c r="BW32" i="65"/>
  <c r="AS32" i="65"/>
  <c r="CW32" i="65"/>
  <c r="BT32" i="65"/>
  <c r="AR32" i="65"/>
  <c r="CV32" i="65"/>
  <c r="CF32" i="65"/>
  <c r="BP32" i="65"/>
  <c r="AQ32" i="65"/>
  <c r="CU32" i="65"/>
  <c r="AN32" i="65"/>
  <c r="CR32" i="65"/>
  <c r="BL32" i="65"/>
  <c r="AL32" i="65"/>
  <c r="BB31" i="65"/>
  <c r="BA31" i="65"/>
  <c r="N31" i="65" s="1"/>
  <c r="B33" i="65"/>
  <c r="N27" i="23" s="1"/>
  <c r="Q27" i="24" s="1"/>
  <c r="A34" i="65"/>
  <c r="M28" i="23" s="1"/>
  <c r="P28" i="24" s="1"/>
  <c r="CA31" i="64"/>
  <c r="O31" i="64" s="1"/>
  <c r="BB31" i="64"/>
  <c r="BA31" i="64"/>
  <c r="N31" i="64" s="1"/>
  <c r="BS32" i="64"/>
  <c r="BK32" i="64"/>
  <c r="AU32" i="64"/>
  <c r="AM32" i="64"/>
  <c r="CW32" i="64"/>
  <c r="CN32" i="64"/>
  <c r="BV32" i="64"/>
  <c r="BM32" i="64"/>
  <c r="AV32" i="64"/>
  <c r="AL32" i="64"/>
  <c r="D32" i="64"/>
  <c r="L26" i="23" s="1"/>
  <c r="O26" i="24" s="1"/>
  <c r="CV32" i="64"/>
  <c r="BU32" i="64"/>
  <c r="BL32" i="64"/>
  <c r="AT32" i="64"/>
  <c r="AK32" i="64"/>
  <c r="CU32" i="64"/>
  <c r="BT32" i="64"/>
  <c r="BJ32" i="64"/>
  <c r="AS32" i="64"/>
  <c r="AJ32" i="64"/>
  <c r="CS32" i="64"/>
  <c r="BZ32" i="64"/>
  <c r="BQ32" i="64"/>
  <c r="BH32" i="64"/>
  <c r="AZ32" i="64"/>
  <c r="AQ32" i="64"/>
  <c r="AH32" i="64"/>
  <c r="BW32" i="64"/>
  <c r="AP32" i="64"/>
  <c r="CH32" i="64"/>
  <c r="BR32" i="64"/>
  <c r="AO32" i="64"/>
  <c r="BP32" i="64"/>
  <c r="AN32" i="64"/>
  <c r="CF32" i="64"/>
  <c r="BO32" i="64"/>
  <c r="AI32" i="64"/>
  <c r="CT32" i="64"/>
  <c r="BN32" i="64"/>
  <c r="AY32" i="64"/>
  <c r="AG32" i="64"/>
  <c r="CR32" i="64"/>
  <c r="BI32" i="64"/>
  <c r="AX32" i="64"/>
  <c r="CP32" i="64"/>
  <c r="BY32" i="64"/>
  <c r="AW32" i="64"/>
  <c r="CO32" i="64"/>
  <c r="BX32" i="64"/>
  <c r="AR32" i="64"/>
  <c r="A34" i="64"/>
  <c r="I28" i="23" s="1"/>
  <c r="K28" i="24" s="1"/>
  <c r="B33" i="64"/>
  <c r="J27" i="23" s="1"/>
  <c r="L27" i="24" s="1"/>
  <c r="A34" i="63"/>
  <c r="E28" i="23" s="1"/>
  <c r="F28" i="24" s="1"/>
  <c r="B33" i="63"/>
  <c r="F27" i="23" s="1"/>
  <c r="G27" i="24" s="1"/>
  <c r="BS32" i="63"/>
  <c r="BK32" i="63"/>
  <c r="AU32" i="63"/>
  <c r="AM32" i="63"/>
  <c r="CV32" i="63"/>
  <c r="CN32" i="63"/>
  <c r="CF32" i="63"/>
  <c r="BX32" i="63"/>
  <c r="BP32" i="63"/>
  <c r="BH32" i="63"/>
  <c r="AZ32" i="63"/>
  <c r="AR32" i="63"/>
  <c r="AJ32" i="63"/>
  <c r="CU32" i="63"/>
  <c r="BZ32" i="63"/>
  <c r="BO32" i="63"/>
  <c r="AV32" i="63"/>
  <c r="AK32" i="63"/>
  <c r="CT32" i="63"/>
  <c r="BY32" i="63"/>
  <c r="BN32" i="63"/>
  <c r="AT32" i="63"/>
  <c r="AI32" i="63"/>
  <c r="CR32" i="63"/>
  <c r="BV32" i="63"/>
  <c r="BL32" i="63"/>
  <c r="AQ32" i="63"/>
  <c r="AG32" i="63"/>
  <c r="CS32" i="63"/>
  <c r="BJ32" i="63"/>
  <c r="AY32" i="63"/>
  <c r="AH32" i="63"/>
  <c r="CP32" i="63"/>
  <c r="BI32" i="63"/>
  <c r="AX32" i="63"/>
  <c r="CO32" i="63"/>
  <c r="BW32" i="63"/>
  <c r="BG32" i="63"/>
  <c r="AW32" i="63"/>
  <c r="D32" i="63"/>
  <c r="H26" i="23" s="1"/>
  <c r="J26" i="24" s="1"/>
  <c r="BU32" i="63"/>
  <c r="AS32" i="63"/>
  <c r="BT32" i="63"/>
  <c r="AP32" i="63"/>
  <c r="CH32" i="63"/>
  <c r="BR32" i="63"/>
  <c r="AO32" i="63"/>
  <c r="CD32" i="63"/>
  <c r="AN32" i="63"/>
  <c r="BQ32" i="63"/>
  <c r="AL32" i="63"/>
  <c r="BM32" i="63"/>
  <c r="CW32" i="63"/>
  <c r="CE32" i="63"/>
  <c r="BB31" i="63"/>
  <c r="BA31" i="63"/>
  <c r="N31" i="63" s="1"/>
  <c r="AH26" i="23" l="1"/>
  <c r="L26" i="25" s="1"/>
  <c r="CI32" i="70"/>
  <c r="AW32" i="70"/>
  <c r="BO32" i="70"/>
  <c r="CH32" i="70"/>
  <c r="CR32" i="70"/>
  <c r="AK32" i="70"/>
  <c r="CG32" i="70"/>
  <c r="CT32" i="70"/>
  <c r="AO32" i="70"/>
  <c r="AS32" i="70"/>
  <c r="BX32" i="70"/>
  <c r="BT32" i="70"/>
  <c r="CO32" i="70"/>
  <c r="CQ32" i="70"/>
  <c r="BN32" i="70"/>
  <c r="AG32" i="70"/>
  <c r="CW32" i="70"/>
  <c r="BJ32" i="70"/>
  <c r="BH32" i="70"/>
  <c r="AV32" i="70"/>
  <c r="CJ32" i="70"/>
  <c r="AX32" i="70"/>
  <c r="BS32" i="70"/>
  <c r="BY32" i="70"/>
  <c r="AQ32" i="70"/>
  <c r="AZ32" i="70"/>
  <c r="AJ32" i="70"/>
  <c r="CK32" i="70"/>
  <c r="AP32" i="70"/>
  <c r="BK32" i="70"/>
  <c r="BL32" i="70"/>
  <c r="CU32" i="70"/>
  <c r="AL32" i="70"/>
  <c r="BP32" i="70"/>
  <c r="CL32" i="70"/>
  <c r="AH32" i="70"/>
  <c r="AU32" i="70"/>
  <c r="AR32" i="70"/>
  <c r="BW32" i="70"/>
  <c r="CE32" i="70"/>
  <c r="AT32" i="70"/>
  <c r="CM32" i="70"/>
  <c r="BU32" i="70"/>
  <c r="AM32" i="70"/>
  <c r="D32" i="70"/>
  <c r="BI32" i="70"/>
  <c r="BR32" i="70"/>
  <c r="AI32" i="70"/>
  <c r="BM32" i="70"/>
  <c r="BZ32" i="70"/>
  <c r="CV32" i="70"/>
  <c r="AN32" i="70"/>
  <c r="AY32" i="70"/>
  <c r="AG27" i="23"/>
  <c r="K27" i="25" s="1"/>
  <c r="B33" i="70"/>
  <c r="A34" i="70"/>
  <c r="CA31" i="70"/>
  <c r="O31" i="70" s="1"/>
  <c r="BB31" i="70"/>
  <c r="BA31" i="70"/>
  <c r="N31" i="70" s="1"/>
  <c r="O25" i="25"/>
  <c r="AJ25" i="23"/>
  <c r="AD26" i="25"/>
  <c r="AV26" i="23"/>
  <c r="Y25" i="25"/>
  <c r="AR25" i="23"/>
  <c r="T26" i="25"/>
  <c r="AN26" i="23"/>
  <c r="U27" i="23"/>
  <c r="Z27" i="24" s="1"/>
  <c r="A34" i="67"/>
  <c r="B33" i="67"/>
  <c r="V26" i="23"/>
  <c r="AA26" i="24" s="1"/>
  <c r="BS32" i="67"/>
  <c r="CV32" i="67"/>
  <c r="BU32" i="67"/>
  <c r="CR32" i="67"/>
  <c r="BN32" i="67"/>
  <c r="BL32" i="67"/>
  <c r="CI32" i="67"/>
  <c r="BK32" i="67"/>
  <c r="CN32" i="67"/>
  <c r="BG32" i="67"/>
  <c r="CD32" i="67"/>
  <c r="AQ32" i="67"/>
  <c r="AX32" i="67"/>
  <c r="D32" i="67"/>
  <c r="X26" i="23" s="1"/>
  <c r="AD26" i="24" s="1"/>
  <c r="CQ32" i="67"/>
  <c r="AU32" i="67"/>
  <c r="BX32" i="67"/>
  <c r="AW32" i="67"/>
  <c r="BQ32" i="67"/>
  <c r="AG32" i="67"/>
  <c r="AN32" i="67"/>
  <c r="BY32" i="67"/>
  <c r="CL32" i="67"/>
  <c r="AM32" i="67"/>
  <c r="BP32" i="67"/>
  <c r="AL32" i="67"/>
  <c r="AT32" i="67"/>
  <c r="CG32" i="67"/>
  <c r="CP32" i="67"/>
  <c r="AZ32" i="67"/>
  <c r="CS32" i="67"/>
  <c r="AI32" i="67"/>
  <c r="BM32" i="67"/>
  <c r="CW32" i="67"/>
  <c r="CM32" i="67"/>
  <c r="CH32" i="67"/>
  <c r="AR32" i="67"/>
  <c r="BT32" i="67"/>
  <c r="BO32" i="67"/>
  <c r="AP32" i="67"/>
  <c r="AY32" i="67"/>
  <c r="AO32" i="67"/>
  <c r="CJ32" i="67"/>
  <c r="BZ32" i="67"/>
  <c r="AJ32" i="67"/>
  <c r="AV32" i="67"/>
  <c r="AS32" i="67"/>
  <c r="CU32" i="67"/>
  <c r="CK32" i="67"/>
  <c r="BJ32" i="67"/>
  <c r="CT32" i="67"/>
  <c r="AK32" i="67"/>
  <c r="AH32" i="67"/>
  <c r="BV32" i="67"/>
  <c r="BW32" i="67"/>
  <c r="BI32" i="67"/>
  <c r="J26" i="25"/>
  <c r="AF26" i="23"/>
  <c r="BB31" i="67"/>
  <c r="BA31" i="67"/>
  <c r="N31" i="67" s="1"/>
  <c r="BB31" i="66"/>
  <c r="BA31" i="66"/>
  <c r="N31" i="66" s="1"/>
  <c r="CA31" i="66"/>
  <c r="O31" i="66" s="1"/>
  <c r="Q27" i="23"/>
  <c r="U27" i="24" s="1"/>
  <c r="B33" i="66"/>
  <c r="A34" i="66"/>
  <c r="R26" i="23"/>
  <c r="V26" i="24" s="1"/>
  <c r="CQ32" i="66"/>
  <c r="CF32" i="66"/>
  <c r="CH32" i="66"/>
  <c r="BI32" i="66"/>
  <c r="CW32" i="66"/>
  <c r="CU32" i="66"/>
  <c r="AQ32" i="66"/>
  <c r="BJ32" i="66"/>
  <c r="CL32" i="66"/>
  <c r="BX32" i="66"/>
  <c r="BW32" i="66"/>
  <c r="AY32" i="66"/>
  <c r="BQ32" i="66"/>
  <c r="BL32" i="66"/>
  <c r="CP32" i="66"/>
  <c r="BO32" i="66"/>
  <c r="CG32" i="66"/>
  <c r="BS32" i="66"/>
  <c r="BP32" i="66"/>
  <c r="BM32" i="66"/>
  <c r="AO32" i="66"/>
  <c r="AW32" i="66"/>
  <c r="AV32" i="66"/>
  <c r="BY32" i="66"/>
  <c r="BV32" i="66"/>
  <c r="CJ32" i="66"/>
  <c r="BK32" i="66"/>
  <c r="BH32" i="66"/>
  <c r="AS32" i="66"/>
  <c r="BR32" i="66"/>
  <c r="AL32" i="66"/>
  <c r="CT32" i="66"/>
  <c r="AP32" i="66"/>
  <c r="CM32" i="66"/>
  <c r="AU32" i="66"/>
  <c r="AZ32" i="66"/>
  <c r="AH32" i="66"/>
  <c r="BG32" i="66"/>
  <c r="AM32" i="66"/>
  <c r="AR32" i="66"/>
  <c r="CO32" i="66"/>
  <c r="AX32" i="66"/>
  <c r="AG32" i="66"/>
  <c r="AT32" i="66"/>
  <c r="AK32" i="66"/>
  <c r="BZ32" i="66"/>
  <c r="CI32" i="66"/>
  <c r="CV32" i="66"/>
  <c r="AJ32" i="66"/>
  <c r="CD32" i="66"/>
  <c r="AN32" i="66"/>
  <c r="CE32" i="66"/>
  <c r="CR32" i="66"/>
  <c r="BU32" i="66"/>
  <c r="CK32" i="66"/>
  <c r="CN32" i="66"/>
  <c r="CS32" i="66"/>
  <c r="BT32" i="66"/>
  <c r="D32" i="66"/>
  <c r="T26" i="23" s="1"/>
  <c r="Y26" i="24" s="1"/>
  <c r="BN32" i="66"/>
  <c r="AI32" i="66"/>
  <c r="CG32" i="72"/>
  <c r="CQ32" i="72"/>
  <c r="CJ32" i="72"/>
  <c r="CI32" i="72"/>
  <c r="CK32" i="72"/>
  <c r="CL32" i="72"/>
  <c r="CM32" i="72"/>
  <c r="CQ33" i="71"/>
  <c r="CI33" i="71"/>
  <c r="CL33" i="71"/>
  <c r="CM33" i="71"/>
  <c r="CJ33" i="71"/>
  <c r="CK33" i="71"/>
  <c r="CI33" i="68"/>
  <c r="CK33" i="68"/>
  <c r="CL33" i="68"/>
  <c r="CM33" i="68"/>
  <c r="CQ33" i="68"/>
  <c r="CG33" i="68"/>
  <c r="CJ33" i="68"/>
  <c r="CK33" i="73"/>
  <c r="CL33" i="73"/>
  <c r="CM33" i="73"/>
  <c r="CQ33" i="73"/>
  <c r="CG33" i="73"/>
  <c r="CI33" i="73"/>
  <c r="CJ33" i="73"/>
  <c r="CI33" i="69"/>
  <c r="CQ33" i="69"/>
  <c r="CJ33" i="69"/>
  <c r="CG33" i="69"/>
  <c r="CK33" i="69"/>
  <c r="CL33" i="69"/>
  <c r="CM33" i="69"/>
  <c r="CI33" i="65"/>
  <c r="CQ33" i="65"/>
  <c r="CJ33" i="65"/>
  <c r="CK33" i="65"/>
  <c r="CL33" i="65"/>
  <c r="CG33" i="65"/>
  <c r="CM33" i="65"/>
  <c r="CI33" i="64"/>
  <c r="CG33" i="64"/>
  <c r="CJ33" i="64"/>
  <c r="CQ33" i="64"/>
  <c r="CK33" i="64"/>
  <c r="CL33" i="64"/>
  <c r="CM33" i="64"/>
  <c r="CI33" i="63"/>
  <c r="CJ33" i="63"/>
  <c r="CK33" i="63"/>
  <c r="CL33" i="63"/>
  <c r="CM33" i="63"/>
  <c r="CQ33" i="63"/>
  <c r="CG33" i="63"/>
  <c r="CX32" i="73"/>
  <c r="P32" i="73" s="1"/>
  <c r="Q31" i="73"/>
  <c r="CT33" i="73"/>
  <c r="CD33" i="73"/>
  <c r="BV33" i="73"/>
  <c r="BN33" i="73"/>
  <c r="AX33" i="73"/>
  <c r="AP33" i="73"/>
  <c r="AH33" i="73"/>
  <c r="CS33" i="73"/>
  <c r="BU33" i="73"/>
  <c r="BM33" i="73"/>
  <c r="AW33" i="73"/>
  <c r="AO33" i="73"/>
  <c r="AG33" i="73"/>
  <c r="BS33" i="73"/>
  <c r="BK33" i="73"/>
  <c r="AU33" i="73"/>
  <c r="AM33" i="73"/>
  <c r="CP33" i="73"/>
  <c r="CE33" i="73"/>
  <c r="BR33" i="73"/>
  <c r="BG33" i="73"/>
  <c r="AY33" i="73"/>
  <c r="AK33" i="73"/>
  <c r="CO33" i="73"/>
  <c r="BQ33" i="73"/>
  <c r="AV33" i="73"/>
  <c r="AJ33" i="73"/>
  <c r="CN33" i="73"/>
  <c r="BP33" i="73"/>
  <c r="AT33" i="73"/>
  <c r="AI33" i="73"/>
  <c r="BZ33" i="73"/>
  <c r="BO33" i="73"/>
  <c r="AS33" i="73"/>
  <c r="CV33" i="73"/>
  <c r="CH33" i="73"/>
  <c r="BX33" i="73"/>
  <c r="BJ33" i="73"/>
  <c r="AQ33" i="73"/>
  <c r="CU33" i="73"/>
  <c r="BW33" i="73"/>
  <c r="BI33" i="73"/>
  <c r="AN33" i="73"/>
  <c r="CR33" i="73"/>
  <c r="CF33" i="73"/>
  <c r="BT33" i="73"/>
  <c r="BH33" i="73"/>
  <c r="AZ33" i="73"/>
  <c r="AL33" i="73"/>
  <c r="CW33" i="73"/>
  <c r="AR33" i="73"/>
  <c r="D33" i="73"/>
  <c r="BY33" i="73"/>
  <c r="BL33" i="73"/>
  <c r="B34" i="73"/>
  <c r="AT28" i="23" s="1"/>
  <c r="AA28" i="25" s="1"/>
  <c r="A35" i="73"/>
  <c r="AS29" i="23" s="1"/>
  <c r="Z29" i="25" s="1"/>
  <c r="BB32" i="73"/>
  <c r="BA32" i="73"/>
  <c r="N32" i="73" s="1"/>
  <c r="CA32" i="73"/>
  <c r="O32" i="73" s="1"/>
  <c r="CT32" i="72"/>
  <c r="BV32" i="72"/>
  <c r="BN32" i="72"/>
  <c r="AX32" i="72"/>
  <c r="AP32" i="72"/>
  <c r="AH32" i="72"/>
  <c r="CS32" i="72"/>
  <c r="BU32" i="72"/>
  <c r="BM32" i="72"/>
  <c r="AW32" i="72"/>
  <c r="AO32" i="72"/>
  <c r="AG32" i="72"/>
  <c r="BS32" i="72"/>
  <c r="BK32" i="72"/>
  <c r="AU32" i="72"/>
  <c r="AM32" i="72"/>
  <c r="CR32" i="72"/>
  <c r="CF32" i="72"/>
  <c r="BT32" i="72"/>
  <c r="BH32" i="72"/>
  <c r="AZ32" i="72"/>
  <c r="AL32" i="72"/>
  <c r="CO32" i="72"/>
  <c r="BQ32" i="72"/>
  <c r="AV32" i="72"/>
  <c r="AJ32" i="72"/>
  <c r="CN32" i="72"/>
  <c r="BP32" i="72"/>
  <c r="AT32" i="72"/>
  <c r="AI32" i="72"/>
  <c r="BZ32" i="72"/>
  <c r="BO32" i="72"/>
  <c r="AS32" i="72"/>
  <c r="CW32" i="72"/>
  <c r="BY32" i="72"/>
  <c r="BL32" i="72"/>
  <c r="AR32" i="72"/>
  <c r="D32" i="72"/>
  <c r="AK32" i="72"/>
  <c r="CV32" i="72"/>
  <c r="BX32" i="72"/>
  <c r="CU32" i="72"/>
  <c r="BW32" i="72"/>
  <c r="CP32" i="72"/>
  <c r="BR32" i="72"/>
  <c r="CH32" i="72"/>
  <c r="BJ32" i="72"/>
  <c r="BI32" i="72"/>
  <c r="AY32" i="72"/>
  <c r="CE32" i="72"/>
  <c r="BG32" i="72"/>
  <c r="AQ32" i="72"/>
  <c r="AN32" i="72"/>
  <c r="BB31" i="72"/>
  <c r="BA31" i="72"/>
  <c r="N31" i="72" s="1"/>
  <c r="B33" i="72"/>
  <c r="AP27" i="23" s="1"/>
  <c r="V27" i="25" s="1"/>
  <c r="A34" i="72"/>
  <c r="AO28" i="23" s="1"/>
  <c r="U28" i="25" s="1"/>
  <c r="BB32" i="71"/>
  <c r="BA32" i="71"/>
  <c r="N32" i="71" s="1"/>
  <c r="CT33" i="71"/>
  <c r="CD33" i="71"/>
  <c r="BV33" i="71"/>
  <c r="BN33" i="71"/>
  <c r="AX33" i="71"/>
  <c r="AP33" i="71"/>
  <c r="AH33" i="71"/>
  <c r="CS33" i="71"/>
  <c r="BU33" i="71"/>
  <c r="BM33" i="71"/>
  <c r="AW33" i="71"/>
  <c r="AO33" i="71"/>
  <c r="AG33" i="71"/>
  <c r="BS33" i="71"/>
  <c r="BK33" i="71"/>
  <c r="AU33" i="71"/>
  <c r="AM33" i="71"/>
  <c r="CP33" i="71"/>
  <c r="CE33" i="71"/>
  <c r="BR33" i="71"/>
  <c r="BG33" i="71"/>
  <c r="AY33" i="71"/>
  <c r="AK33" i="71"/>
  <c r="CO33" i="71"/>
  <c r="BQ33" i="71"/>
  <c r="AV33" i="71"/>
  <c r="AJ33" i="71"/>
  <c r="CN33" i="71"/>
  <c r="BP33" i="71"/>
  <c r="AT33" i="71"/>
  <c r="AI33" i="71"/>
  <c r="CW33" i="71"/>
  <c r="BL33" i="71"/>
  <c r="AR33" i="71"/>
  <c r="D33" i="71"/>
  <c r="CH33" i="71"/>
  <c r="BX33" i="71"/>
  <c r="AQ33" i="71"/>
  <c r="CU33" i="71"/>
  <c r="BW33" i="71"/>
  <c r="BI33" i="71"/>
  <c r="AN33" i="71"/>
  <c r="BZ33" i="71"/>
  <c r="AZ33" i="71"/>
  <c r="AS33" i="71"/>
  <c r="BO33" i="71"/>
  <c r="AL33" i="71"/>
  <c r="CR33" i="71"/>
  <c r="BH33" i="71"/>
  <c r="CF33" i="71"/>
  <c r="B34" i="71"/>
  <c r="AL28" i="23" s="1"/>
  <c r="Q28" i="25" s="1"/>
  <c r="A35" i="71"/>
  <c r="AK29" i="23" s="1"/>
  <c r="P29" i="25" s="1"/>
  <c r="CT33" i="69"/>
  <c r="CD33" i="69"/>
  <c r="BV33" i="69"/>
  <c r="BN33" i="69"/>
  <c r="AX33" i="69"/>
  <c r="AP33" i="69"/>
  <c r="AH33" i="69"/>
  <c r="CS33" i="69"/>
  <c r="BU33" i="69"/>
  <c r="BM33" i="69"/>
  <c r="AW33" i="69"/>
  <c r="AO33" i="69"/>
  <c r="AG33" i="69"/>
  <c r="BS33" i="69"/>
  <c r="BK33" i="69"/>
  <c r="AU33" i="69"/>
  <c r="AM33" i="69"/>
  <c r="CR33" i="69"/>
  <c r="CF33" i="69"/>
  <c r="BT33" i="69"/>
  <c r="BH33" i="69"/>
  <c r="AZ33" i="69"/>
  <c r="AL33" i="69"/>
  <c r="CO33" i="69"/>
  <c r="BQ33" i="69"/>
  <c r="AV33" i="69"/>
  <c r="AJ33" i="69"/>
  <c r="CN33" i="69"/>
  <c r="BP33" i="69"/>
  <c r="AT33" i="69"/>
  <c r="AI33" i="69"/>
  <c r="CW33" i="69"/>
  <c r="BY33" i="69"/>
  <c r="BL33" i="69"/>
  <c r="BW33" i="69"/>
  <c r="AN33" i="69"/>
  <c r="CH33" i="69"/>
  <c r="BR33" i="69"/>
  <c r="AK33" i="69"/>
  <c r="BO33" i="69"/>
  <c r="D33" i="69"/>
  <c r="CE33" i="69"/>
  <c r="BJ33" i="69"/>
  <c r="BI33" i="69"/>
  <c r="AY33" i="69"/>
  <c r="CV33" i="69"/>
  <c r="BG33" i="69"/>
  <c r="AS33" i="69"/>
  <c r="CU33" i="69"/>
  <c r="BZ33" i="69"/>
  <c r="AR33" i="69"/>
  <c r="CP33" i="69"/>
  <c r="AQ33" i="69"/>
  <c r="BX33" i="69"/>
  <c r="BB32" i="69"/>
  <c r="BA32" i="69"/>
  <c r="N32" i="69" s="1"/>
  <c r="B34" i="69"/>
  <c r="AD28" i="23" s="1"/>
  <c r="G28" i="25" s="1"/>
  <c r="A35" i="69"/>
  <c r="AC29" i="23" s="1"/>
  <c r="F29" i="25" s="1"/>
  <c r="A35" i="68"/>
  <c r="Y29" i="23" s="1"/>
  <c r="A29" i="25" s="1"/>
  <c r="B34" i="68"/>
  <c r="Z28" i="23" s="1"/>
  <c r="B28" i="25" s="1"/>
  <c r="BB32" i="68"/>
  <c r="BA32" i="68"/>
  <c r="N32" i="68" s="1"/>
  <c r="CW33" i="68"/>
  <c r="CO33" i="68"/>
  <c r="BY33" i="68"/>
  <c r="BQ33" i="68"/>
  <c r="BI33" i="68"/>
  <c r="AS33" i="68"/>
  <c r="AK33" i="68"/>
  <c r="D33" i="68"/>
  <c r="AB27" i="23" s="1"/>
  <c r="E27" i="25" s="1"/>
  <c r="CV33" i="68"/>
  <c r="CN33" i="68"/>
  <c r="CF33" i="68"/>
  <c r="BX33" i="68"/>
  <c r="BP33" i="68"/>
  <c r="BH33" i="68"/>
  <c r="AZ33" i="68"/>
  <c r="AR33" i="68"/>
  <c r="AJ33" i="68"/>
  <c r="CT33" i="68"/>
  <c r="CD33" i="68"/>
  <c r="BV33" i="68"/>
  <c r="BN33" i="68"/>
  <c r="AX33" i="68"/>
  <c r="AP33" i="68"/>
  <c r="AH33" i="68"/>
  <c r="CS33" i="68"/>
  <c r="CH33" i="68"/>
  <c r="BT33" i="68"/>
  <c r="BG33" i="68"/>
  <c r="AV33" i="68"/>
  <c r="AI33" i="68"/>
  <c r="CR33" i="68"/>
  <c r="CE33" i="68"/>
  <c r="BS33" i="68"/>
  <c r="AU33" i="68"/>
  <c r="AG33" i="68"/>
  <c r="BR33" i="68"/>
  <c r="AT33" i="68"/>
  <c r="CP33" i="68"/>
  <c r="BO33" i="68"/>
  <c r="AQ33" i="68"/>
  <c r="BM33" i="68"/>
  <c r="AO33" i="68"/>
  <c r="BZ33" i="68"/>
  <c r="BL33" i="68"/>
  <c r="AN33" i="68"/>
  <c r="BW33" i="68"/>
  <c r="BK33" i="68"/>
  <c r="AY33" i="68"/>
  <c r="AM33" i="68"/>
  <c r="AW33" i="68"/>
  <c r="AL33" i="68"/>
  <c r="BU33" i="68"/>
  <c r="BJ33" i="68"/>
  <c r="CU33" i="68"/>
  <c r="BB32" i="65"/>
  <c r="BA32" i="65"/>
  <c r="N32" i="65" s="1"/>
  <c r="A35" i="65"/>
  <c r="M29" i="23" s="1"/>
  <c r="P29" i="24" s="1"/>
  <c r="B34" i="65"/>
  <c r="N28" i="23" s="1"/>
  <c r="Q28" i="24" s="1"/>
  <c r="CW33" i="65"/>
  <c r="CO33" i="65"/>
  <c r="BY33" i="65"/>
  <c r="BQ33" i="65"/>
  <c r="BI33" i="65"/>
  <c r="AS33" i="65"/>
  <c r="AK33" i="65"/>
  <c r="D33" i="65"/>
  <c r="P27" i="23" s="1"/>
  <c r="T27" i="24" s="1"/>
  <c r="CV33" i="65"/>
  <c r="CN33" i="65"/>
  <c r="CF33" i="65"/>
  <c r="BX33" i="65"/>
  <c r="BH33" i="65"/>
  <c r="AZ33" i="65"/>
  <c r="AR33" i="65"/>
  <c r="AJ33" i="65"/>
  <c r="CT33" i="65"/>
  <c r="CD33" i="65"/>
  <c r="BV33" i="65"/>
  <c r="BN33" i="65"/>
  <c r="AX33" i="65"/>
  <c r="AP33" i="65"/>
  <c r="AH33" i="65"/>
  <c r="CP33" i="65"/>
  <c r="BO33" i="65"/>
  <c r="AQ33" i="65"/>
  <c r="BM33" i="65"/>
  <c r="AO33" i="65"/>
  <c r="BZ33" i="65"/>
  <c r="BJ33" i="65"/>
  <c r="AW33" i="65"/>
  <c r="AG33" i="65"/>
  <c r="BW33" i="65"/>
  <c r="BG33" i="65"/>
  <c r="AV33" i="65"/>
  <c r="BU33" i="65"/>
  <c r="AU33" i="65"/>
  <c r="BT33" i="65"/>
  <c r="AT33" i="65"/>
  <c r="BS33" i="65"/>
  <c r="AN33" i="65"/>
  <c r="CU33" i="65"/>
  <c r="CE33" i="65"/>
  <c r="BR33" i="65"/>
  <c r="AM33" i="65"/>
  <c r="CS33" i="65"/>
  <c r="BL33" i="65"/>
  <c r="AL33" i="65"/>
  <c r="CR33" i="65"/>
  <c r="AY33" i="65"/>
  <c r="AI33" i="65"/>
  <c r="A35" i="64"/>
  <c r="I29" i="23" s="1"/>
  <c r="K29" i="24" s="1"/>
  <c r="B34" i="64"/>
  <c r="J28" i="23" s="1"/>
  <c r="L28" i="24" s="1"/>
  <c r="CT33" i="64"/>
  <c r="CD33" i="64"/>
  <c r="BV33" i="64"/>
  <c r="BN33" i="64"/>
  <c r="AX33" i="64"/>
  <c r="AP33" i="64"/>
  <c r="AH33" i="64"/>
  <c r="CR33" i="64"/>
  <c r="BZ33" i="64"/>
  <c r="BQ33" i="64"/>
  <c r="AZ33" i="64"/>
  <c r="AQ33" i="64"/>
  <c r="AG33" i="64"/>
  <c r="CH33" i="64"/>
  <c r="BY33" i="64"/>
  <c r="BP33" i="64"/>
  <c r="BG33" i="64"/>
  <c r="AY33" i="64"/>
  <c r="AO33" i="64"/>
  <c r="CP33" i="64"/>
  <c r="BX33" i="64"/>
  <c r="BO33" i="64"/>
  <c r="AW33" i="64"/>
  <c r="AN33" i="64"/>
  <c r="CW33" i="64"/>
  <c r="CN33" i="64"/>
  <c r="BU33" i="64"/>
  <c r="BL33" i="64"/>
  <c r="AU33" i="64"/>
  <c r="AL33" i="64"/>
  <c r="D33" i="64"/>
  <c r="L27" i="23" s="1"/>
  <c r="O27" i="24" s="1"/>
  <c r="CV33" i="64"/>
  <c r="CU33" i="64"/>
  <c r="BK33" i="64"/>
  <c r="AI33" i="64"/>
  <c r="BJ33" i="64"/>
  <c r="AV33" i="64"/>
  <c r="BI33" i="64"/>
  <c r="AT33" i="64"/>
  <c r="CS33" i="64"/>
  <c r="BW33" i="64"/>
  <c r="AS33" i="64"/>
  <c r="CO33" i="64"/>
  <c r="BT33" i="64"/>
  <c r="AR33" i="64"/>
  <c r="BS33" i="64"/>
  <c r="AM33" i="64"/>
  <c r="BR33" i="64"/>
  <c r="AK33" i="64"/>
  <c r="BM33" i="64"/>
  <c r="AJ33" i="64"/>
  <c r="BB32" i="64"/>
  <c r="BA32" i="64"/>
  <c r="N32" i="64" s="1"/>
  <c r="CA32" i="63"/>
  <c r="O32" i="63" s="1"/>
  <c r="CT33" i="63"/>
  <c r="BV33" i="63"/>
  <c r="BN33" i="63"/>
  <c r="AX33" i="63"/>
  <c r="AP33" i="63"/>
  <c r="AH33" i="63"/>
  <c r="BS33" i="63"/>
  <c r="BK33" i="63"/>
  <c r="AU33" i="63"/>
  <c r="AM33" i="63"/>
  <c r="CP33" i="63"/>
  <c r="CF33" i="63"/>
  <c r="BU33" i="63"/>
  <c r="BJ33" i="63"/>
  <c r="AR33" i="63"/>
  <c r="AG33" i="63"/>
  <c r="CO33" i="63"/>
  <c r="CE33" i="63"/>
  <c r="BT33" i="63"/>
  <c r="BI33" i="63"/>
  <c r="AQ33" i="63"/>
  <c r="CW33" i="63"/>
  <c r="BQ33" i="63"/>
  <c r="BG33" i="63"/>
  <c r="AY33" i="63"/>
  <c r="AN33" i="63"/>
  <c r="D33" i="63"/>
  <c r="H27" i="23" s="1"/>
  <c r="J27" i="24" s="1"/>
  <c r="CH33" i="63"/>
  <c r="BR33" i="63"/>
  <c r="AL33" i="63"/>
  <c r="CV33" i="63"/>
  <c r="BP33" i="63"/>
  <c r="AK33" i="63"/>
  <c r="CU33" i="63"/>
  <c r="BO33" i="63"/>
  <c r="AZ33" i="63"/>
  <c r="AJ33" i="63"/>
  <c r="CS33" i="63"/>
  <c r="BM33" i="63"/>
  <c r="AW33" i="63"/>
  <c r="AI33" i="63"/>
  <c r="CR33" i="63"/>
  <c r="BZ33" i="63"/>
  <c r="BL33" i="63"/>
  <c r="AV33" i="63"/>
  <c r="CN33" i="63"/>
  <c r="BY33" i="63"/>
  <c r="BH33" i="63"/>
  <c r="AT33" i="63"/>
  <c r="AS33" i="63"/>
  <c r="AO33" i="63"/>
  <c r="BX33" i="63"/>
  <c r="BW33" i="63"/>
  <c r="BB32" i="63"/>
  <c r="BA32" i="63"/>
  <c r="N32" i="63" s="1"/>
  <c r="Y32" i="63" s="1"/>
  <c r="Y39" i="63" s="1"/>
  <c r="B34" i="63"/>
  <c r="F28" i="23" s="1"/>
  <c r="G28" i="24" s="1"/>
  <c r="A35" i="63"/>
  <c r="E29" i="23" s="1"/>
  <c r="F29" i="24" s="1"/>
  <c r="AH27" i="23" l="1"/>
  <c r="L27" i="25" s="1"/>
  <c r="CK33" i="70"/>
  <c r="BY33" i="70"/>
  <c r="CF33" i="70"/>
  <c r="BN33" i="70"/>
  <c r="BU33" i="70"/>
  <c r="AV33" i="70"/>
  <c r="BO33" i="70"/>
  <c r="CL33" i="70"/>
  <c r="BQ33" i="70"/>
  <c r="BX33" i="70"/>
  <c r="AX33" i="70"/>
  <c r="BJ33" i="70"/>
  <c r="AI33" i="70"/>
  <c r="AQ33" i="70"/>
  <c r="CM33" i="70"/>
  <c r="BI33" i="70"/>
  <c r="BP33" i="70"/>
  <c r="AP33" i="70"/>
  <c r="AW33" i="70"/>
  <c r="CR33" i="70"/>
  <c r="BM33" i="70"/>
  <c r="CJ33" i="70"/>
  <c r="AS33" i="70"/>
  <c r="AZ33" i="70"/>
  <c r="AH33" i="70"/>
  <c r="AL33" i="70"/>
  <c r="BS33" i="70"/>
  <c r="AO33" i="70"/>
  <c r="AK33" i="70"/>
  <c r="AR33" i="70"/>
  <c r="BK33" i="70"/>
  <c r="CS33" i="70"/>
  <c r="AU33" i="70"/>
  <c r="BZ33" i="70"/>
  <c r="D33" i="70"/>
  <c r="AJ33" i="70"/>
  <c r="AY33" i="70"/>
  <c r="CH33" i="70"/>
  <c r="AG33" i="70"/>
  <c r="BL33" i="70"/>
  <c r="CV33" i="70"/>
  <c r="CD33" i="70"/>
  <c r="AM33" i="70"/>
  <c r="BT33" i="70"/>
  <c r="AT33" i="70"/>
  <c r="AN33" i="70"/>
  <c r="CI33" i="70"/>
  <c r="CW33" i="70"/>
  <c r="CN33" i="70"/>
  <c r="BV33" i="70"/>
  <c r="CU33" i="70"/>
  <c r="BG33" i="70"/>
  <c r="CP33" i="70"/>
  <c r="AJ26" i="23"/>
  <c r="O26" i="25"/>
  <c r="AG28" i="23"/>
  <c r="K28" i="25" s="1"/>
  <c r="A35" i="70"/>
  <c r="B34" i="70"/>
  <c r="BB32" i="70"/>
  <c r="BA32" i="70"/>
  <c r="N32" i="70" s="1"/>
  <c r="BA32" i="67"/>
  <c r="N32" i="67" s="1"/>
  <c r="BB32" i="67"/>
  <c r="AV27" i="23"/>
  <c r="AD27" i="25"/>
  <c r="AN27" i="23"/>
  <c r="T27" i="25"/>
  <c r="Y26" i="25"/>
  <c r="AR26" i="23"/>
  <c r="V27" i="23"/>
  <c r="AA27" i="24" s="1"/>
  <c r="CI33" i="67"/>
  <c r="AP33" i="67"/>
  <c r="BK33" i="67"/>
  <c r="BO33" i="67"/>
  <c r="CH33" i="67"/>
  <c r="BT33" i="67"/>
  <c r="AY33" i="67"/>
  <c r="CQ33" i="67"/>
  <c r="AH33" i="67"/>
  <c r="AU33" i="67"/>
  <c r="AS33" i="67"/>
  <c r="BX33" i="67"/>
  <c r="BH33" i="67"/>
  <c r="AK33" i="67"/>
  <c r="CU33" i="67"/>
  <c r="CJ33" i="67"/>
  <c r="CS33" i="67"/>
  <c r="AM33" i="67"/>
  <c r="CW33" i="67"/>
  <c r="BJ33" i="67"/>
  <c r="AZ33" i="67"/>
  <c r="BR33" i="67"/>
  <c r="CO33" i="67"/>
  <c r="CV33" i="67"/>
  <c r="CK33" i="67"/>
  <c r="CT33" i="67"/>
  <c r="BU33" i="67"/>
  <c r="CN33" i="67"/>
  <c r="BY33" i="67"/>
  <c r="AQ33" i="67"/>
  <c r="AL33" i="67"/>
  <c r="BG33" i="67"/>
  <c r="BZ33" i="67"/>
  <c r="CL33" i="67"/>
  <c r="CD33" i="67"/>
  <c r="BM33" i="67"/>
  <c r="BP33" i="67"/>
  <c r="BL33" i="67"/>
  <c r="CE33" i="67"/>
  <c r="CR33" i="67"/>
  <c r="CM33" i="67"/>
  <c r="BV33" i="67"/>
  <c r="AW33" i="67"/>
  <c r="AT33" i="67"/>
  <c r="AR33" i="67"/>
  <c r="BW33" i="67"/>
  <c r="BQ33" i="67"/>
  <c r="AN33" i="67"/>
  <c r="AJ33" i="67"/>
  <c r="BN33" i="67"/>
  <c r="AO33" i="67"/>
  <c r="AI33" i="67"/>
  <c r="D33" i="67"/>
  <c r="X27" i="23" s="1"/>
  <c r="AD27" i="24" s="1"/>
  <c r="AV33" i="67"/>
  <c r="AX33" i="67"/>
  <c r="AG33" i="67"/>
  <c r="U28" i="23"/>
  <c r="Z28" i="24" s="1"/>
  <c r="B34" i="67"/>
  <c r="A35" i="67"/>
  <c r="J27" i="25"/>
  <c r="AF27" i="23"/>
  <c r="Q28" i="23"/>
  <c r="U28" i="24" s="1"/>
  <c r="B34" i="66"/>
  <c r="A35" i="66"/>
  <c r="CA32" i="66"/>
  <c r="O32" i="66" s="1"/>
  <c r="R27" i="23"/>
  <c r="V27" i="24" s="1"/>
  <c r="CQ33" i="66"/>
  <c r="AP33" i="66"/>
  <c r="BS33" i="66"/>
  <c r="BW33" i="66"/>
  <c r="AL33" i="66"/>
  <c r="BQ33" i="66"/>
  <c r="AR33" i="66"/>
  <c r="D33" i="66"/>
  <c r="T27" i="23" s="1"/>
  <c r="Y27" i="24" s="1"/>
  <c r="BG33" i="66"/>
  <c r="AH33" i="66"/>
  <c r="BK33" i="66"/>
  <c r="BI33" i="66"/>
  <c r="CP33" i="66"/>
  <c r="CN33" i="66"/>
  <c r="AQ33" i="66"/>
  <c r="CW33" i="66"/>
  <c r="CI33" i="66"/>
  <c r="CS33" i="66"/>
  <c r="AU33" i="66"/>
  <c r="AN33" i="66"/>
  <c r="CE33" i="66"/>
  <c r="BP33" i="66"/>
  <c r="AJ33" i="66"/>
  <c r="AV33" i="66"/>
  <c r="CG33" i="66"/>
  <c r="CT33" i="66"/>
  <c r="BU33" i="66"/>
  <c r="AM33" i="66"/>
  <c r="CR33" i="66"/>
  <c r="BR33" i="66"/>
  <c r="BL33" i="66"/>
  <c r="CM33" i="66"/>
  <c r="CD33" i="66"/>
  <c r="BM33" i="66"/>
  <c r="BZ33" i="66"/>
  <c r="CF33" i="66"/>
  <c r="BY33" i="66"/>
  <c r="CJ33" i="66"/>
  <c r="BV33" i="66"/>
  <c r="AW33" i="66"/>
  <c r="BO33" i="66"/>
  <c r="BT33" i="66"/>
  <c r="AY33" i="66"/>
  <c r="AT33" i="66"/>
  <c r="AI33" i="66"/>
  <c r="CO33" i="66"/>
  <c r="CK33" i="66"/>
  <c r="BN33" i="66"/>
  <c r="AO33" i="66"/>
  <c r="AS33" i="66"/>
  <c r="BH33" i="66"/>
  <c r="AK33" i="66"/>
  <c r="CH33" i="66"/>
  <c r="CV33" i="66"/>
  <c r="BJ33" i="66"/>
  <c r="CL33" i="66"/>
  <c r="AX33" i="66"/>
  <c r="AG33" i="66"/>
  <c r="CU33" i="66"/>
  <c r="AZ33" i="66"/>
  <c r="BX33" i="66"/>
  <c r="BB32" i="66"/>
  <c r="BA32" i="66"/>
  <c r="N32" i="66" s="1"/>
  <c r="CI34" i="73"/>
  <c r="CJ34" i="73"/>
  <c r="CQ34" i="73"/>
  <c r="CK34" i="73"/>
  <c r="CL34" i="73"/>
  <c r="CM34" i="73"/>
  <c r="CG34" i="73"/>
  <c r="CJ33" i="72"/>
  <c r="CK33" i="72"/>
  <c r="CL33" i="72"/>
  <c r="CM33" i="72"/>
  <c r="CG33" i="72"/>
  <c r="CQ33" i="72"/>
  <c r="CI33" i="72"/>
  <c r="CJ34" i="68"/>
  <c r="CQ34" i="68"/>
  <c r="CK34" i="68"/>
  <c r="CL34" i="68"/>
  <c r="CM34" i="68"/>
  <c r="CG34" i="68"/>
  <c r="CQ34" i="71"/>
  <c r="CI34" i="71"/>
  <c r="CJ34" i="71"/>
  <c r="CK34" i="71"/>
  <c r="CL34" i="71"/>
  <c r="CM34" i="71"/>
  <c r="CG34" i="71"/>
  <c r="CI34" i="69"/>
  <c r="CJ34" i="69"/>
  <c r="CQ34" i="69"/>
  <c r="CK34" i="69"/>
  <c r="CL34" i="69"/>
  <c r="CM34" i="69"/>
  <c r="CG34" i="69"/>
  <c r="CI34" i="65"/>
  <c r="CJ34" i="65"/>
  <c r="CG34" i="65"/>
  <c r="CK34" i="65"/>
  <c r="CQ34" i="65"/>
  <c r="CL34" i="65"/>
  <c r="CM34" i="65"/>
  <c r="CI34" i="64"/>
  <c r="CL34" i="64"/>
  <c r="CM34" i="64"/>
  <c r="CQ34" i="64"/>
  <c r="CJ34" i="64"/>
  <c r="CK34" i="64"/>
  <c r="CI34" i="63"/>
  <c r="CJ34" i="63"/>
  <c r="CK34" i="63"/>
  <c r="CL34" i="63"/>
  <c r="CM34" i="63"/>
  <c r="CQ34" i="63"/>
  <c r="CG34" i="63"/>
  <c r="CX33" i="68"/>
  <c r="P33" i="68" s="1"/>
  <c r="CX33" i="69"/>
  <c r="P33" i="69" s="1"/>
  <c r="CX33" i="73"/>
  <c r="P33" i="73" s="1"/>
  <c r="Q32" i="73"/>
  <c r="CA33" i="73"/>
  <c r="O33" i="73" s="1"/>
  <c r="BB33" i="73"/>
  <c r="BA33" i="73"/>
  <c r="N33" i="73" s="1"/>
  <c r="A36" i="73"/>
  <c r="AS30" i="23" s="1"/>
  <c r="Z30" i="25" s="1"/>
  <c r="B35" i="73"/>
  <c r="AT29" i="23" s="1"/>
  <c r="AA29" i="25" s="1"/>
  <c r="CW34" i="73"/>
  <c r="CO34" i="73"/>
  <c r="BY34" i="73"/>
  <c r="BQ34" i="73"/>
  <c r="BI34" i="73"/>
  <c r="AS34" i="73"/>
  <c r="AK34" i="73"/>
  <c r="D34" i="73"/>
  <c r="CV34" i="73"/>
  <c r="CN34" i="73"/>
  <c r="CF34" i="73"/>
  <c r="BX34" i="73"/>
  <c r="BP34" i="73"/>
  <c r="BH34" i="73"/>
  <c r="AZ34" i="73"/>
  <c r="AR34" i="73"/>
  <c r="AJ34" i="73"/>
  <c r="CT34" i="73"/>
  <c r="CD34" i="73"/>
  <c r="BV34" i="73"/>
  <c r="BN34" i="73"/>
  <c r="AX34" i="73"/>
  <c r="AP34" i="73"/>
  <c r="AH34" i="73"/>
  <c r="CP34" i="73"/>
  <c r="BO34" i="73"/>
  <c r="AQ34" i="73"/>
  <c r="BM34" i="73"/>
  <c r="AO34" i="73"/>
  <c r="BZ34" i="73"/>
  <c r="BL34" i="73"/>
  <c r="AN34" i="73"/>
  <c r="BW34" i="73"/>
  <c r="BK34" i="73"/>
  <c r="AY34" i="73"/>
  <c r="AM34" i="73"/>
  <c r="CS34" i="73"/>
  <c r="CH34" i="73"/>
  <c r="BT34" i="73"/>
  <c r="BG34" i="73"/>
  <c r="AV34" i="73"/>
  <c r="AI34" i="73"/>
  <c r="CR34" i="73"/>
  <c r="CE34" i="73"/>
  <c r="BS34" i="73"/>
  <c r="AU34" i="73"/>
  <c r="AG34" i="73"/>
  <c r="BR34" i="73"/>
  <c r="AT34" i="73"/>
  <c r="BU34" i="73"/>
  <c r="BJ34" i="73"/>
  <c r="CU34" i="73"/>
  <c r="AW34" i="73"/>
  <c r="AL34" i="73"/>
  <c r="A35" i="72"/>
  <c r="AO29" i="23" s="1"/>
  <c r="U29" i="25" s="1"/>
  <c r="B34" i="72"/>
  <c r="AP28" i="23" s="1"/>
  <c r="V28" i="25" s="1"/>
  <c r="BB32" i="72"/>
  <c r="BA32" i="72"/>
  <c r="N32" i="72" s="1"/>
  <c r="CW33" i="72"/>
  <c r="CO33" i="72"/>
  <c r="BY33" i="72"/>
  <c r="BQ33" i="72"/>
  <c r="BI33" i="72"/>
  <c r="AS33" i="72"/>
  <c r="AK33" i="72"/>
  <c r="D33" i="72"/>
  <c r="CV33" i="72"/>
  <c r="CN33" i="72"/>
  <c r="CF33" i="72"/>
  <c r="BX33" i="72"/>
  <c r="BP33" i="72"/>
  <c r="BH33" i="72"/>
  <c r="AZ33" i="72"/>
  <c r="AR33" i="72"/>
  <c r="AJ33" i="72"/>
  <c r="CT33" i="72"/>
  <c r="CD33" i="72"/>
  <c r="BV33" i="72"/>
  <c r="BN33" i="72"/>
  <c r="AX33" i="72"/>
  <c r="AP33" i="72"/>
  <c r="AH33" i="72"/>
  <c r="BR33" i="72"/>
  <c r="AT33" i="72"/>
  <c r="BM33" i="72"/>
  <c r="AO33" i="72"/>
  <c r="BZ33" i="72"/>
  <c r="BL33" i="72"/>
  <c r="AN33" i="72"/>
  <c r="BW33" i="72"/>
  <c r="BK33" i="72"/>
  <c r="AY33" i="72"/>
  <c r="AM33" i="72"/>
  <c r="CU33" i="72"/>
  <c r="BU33" i="72"/>
  <c r="BJ33" i="72"/>
  <c r="AW33" i="72"/>
  <c r="AL33" i="72"/>
  <c r="BT33" i="72"/>
  <c r="AV33" i="72"/>
  <c r="CS33" i="72"/>
  <c r="BS33" i="72"/>
  <c r="AU33" i="72"/>
  <c r="CR33" i="72"/>
  <c r="BO33" i="72"/>
  <c r="AQ33" i="72"/>
  <c r="CP33" i="72"/>
  <c r="BG33" i="72"/>
  <c r="AI33" i="72"/>
  <c r="CH33" i="72"/>
  <c r="AG33" i="72"/>
  <c r="CA32" i="72"/>
  <c r="O32" i="72" s="1"/>
  <c r="A36" i="71"/>
  <c r="AK30" i="23" s="1"/>
  <c r="P30" i="25" s="1"/>
  <c r="B35" i="71"/>
  <c r="AL29" i="23" s="1"/>
  <c r="Q29" i="25" s="1"/>
  <c r="CO34" i="71"/>
  <c r="BY34" i="71"/>
  <c r="BQ34" i="71"/>
  <c r="BI34" i="71"/>
  <c r="AS34" i="71"/>
  <c r="AK34" i="71"/>
  <c r="D34" i="71"/>
  <c r="CV34" i="71"/>
  <c r="CN34" i="71"/>
  <c r="CF34" i="71"/>
  <c r="BX34" i="71"/>
  <c r="BP34" i="71"/>
  <c r="BH34" i="71"/>
  <c r="AZ34" i="71"/>
  <c r="AR34" i="71"/>
  <c r="AJ34" i="71"/>
  <c r="CT34" i="71"/>
  <c r="CD34" i="71"/>
  <c r="BV34" i="71"/>
  <c r="BN34" i="71"/>
  <c r="AX34" i="71"/>
  <c r="AP34" i="71"/>
  <c r="AH34" i="71"/>
  <c r="CP34" i="71"/>
  <c r="BO34" i="71"/>
  <c r="AQ34" i="71"/>
  <c r="BM34" i="71"/>
  <c r="AO34" i="71"/>
  <c r="BL34" i="71"/>
  <c r="AN34" i="71"/>
  <c r="BW34" i="71"/>
  <c r="AY34" i="71"/>
  <c r="AM34" i="71"/>
  <c r="CU34" i="71"/>
  <c r="BJ34" i="71"/>
  <c r="AW34" i="71"/>
  <c r="AL34" i="71"/>
  <c r="CS34" i="71"/>
  <c r="BT34" i="71"/>
  <c r="BG34" i="71"/>
  <c r="AV34" i="71"/>
  <c r="AI34" i="71"/>
  <c r="CE34" i="71"/>
  <c r="BS34" i="71"/>
  <c r="AU34" i="71"/>
  <c r="AG34" i="71"/>
  <c r="AT34" i="71"/>
  <c r="BR34" i="71"/>
  <c r="BB33" i="71"/>
  <c r="BA33" i="71"/>
  <c r="N33" i="71" s="1"/>
  <c r="A36" i="69"/>
  <c r="AC30" i="23" s="1"/>
  <c r="F30" i="25" s="1"/>
  <c r="B35" i="69"/>
  <c r="AD29" i="23" s="1"/>
  <c r="G29" i="25" s="1"/>
  <c r="CW34" i="69"/>
  <c r="CO34" i="69"/>
  <c r="BY34" i="69"/>
  <c r="BQ34" i="69"/>
  <c r="BI34" i="69"/>
  <c r="AS34" i="69"/>
  <c r="AK34" i="69"/>
  <c r="D34" i="69"/>
  <c r="CV34" i="69"/>
  <c r="CN34" i="69"/>
  <c r="CF34" i="69"/>
  <c r="BX34" i="69"/>
  <c r="BP34" i="69"/>
  <c r="BH34" i="69"/>
  <c r="AZ34" i="69"/>
  <c r="AR34" i="69"/>
  <c r="AJ34" i="69"/>
  <c r="CT34" i="69"/>
  <c r="CD34" i="69"/>
  <c r="BV34" i="69"/>
  <c r="BN34" i="69"/>
  <c r="AX34" i="69"/>
  <c r="AP34" i="69"/>
  <c r="AH34" i="69"/>
  <c r="BR34" i="69"/>
  <c r="AT34" i="69"/>
  <c r="BM34" i="69"/>
  <c r="AO34" i="69"/>
  <c r="BZ34" i="69"/>
  <c r="BL34" i="69"/>
  <c r="AN34" i="69"/>
  <c r="BW34" i="69"/>
  <c r="BK34" i="69"/>
  <c r="AY34" i="69"/>
  <c r="AM34" i="69"/>
  <c r="CU34" i="69"/>
  <c r="BU34" i="69"/>
  <c r="BJ34" i="69"/>
  <c r="AW34" i="69"/>
  <c r="AL34" i="69"/>
  <c r="CR34" i="69"/>
  <c r="BO34" i="69"/>
  <c r="AQ34" i="69"/>
  <c r="CP34" i="69"/>
  <c r="BG34" i="69"/>
  <c r="AI34" i="69"/>
  <c r="CH34" i="69"/>
  <c r="AG34" i="69"/>
  <c r="CE34" i="69"/>
  <c r="BT34" i="69"/>
  <c r="AV34" i="69"/>
  <c r="CS34" i="69"/>
  <c r="AU34" i="69"/>
  <c r="BS34" i="69"/>
  <c r="BB33" i="69"/>
  <c r="BA33" i="69"/>
  <c r="N33" i="69" s="1"/>
  <c r="CA33" i="69"/>
  <c r="O33" i="69" s="1"/>
  <c r="CA33" i="68"/>
  <c r="O33" i="68" s="1"/>
  <c r="CR34" i="68"/>
  <c r="BT34" i="68"/>
  <c r="BL34" i="68"/>
  <c r="AV34" i="68"/>
  <c r="AN34" i="68"/>
  <c r="BS34" i="68"/>
  <c r="BK34" i="68"/>
  <c r="AU34" i="68"/>
  <c r="AM34" i="68"/>
  <c r="CW34" i="68"/>
  <c r="CO34" i="68"/>
  <c r="BY34" i="68"/>
  <c r="BQ34" i="68"/>
  <c r="BI34" i="68"/>
  <c r="AS34" i="68"/>
  <c r="AK34" i="68"/>
  <c r="D34" i="68"/>
  <c r="AB28" i="23" s="1"/>
  <c r="E28" i="25" s="1"/>
  <c r="CN34" i="68"/>
  <c r="BP34" i="68"/>
  <c r="AT34" i="68"/>
  <c r="AH34" i="68"/>
  <c r="BO34" i="68"/>
  <c r="AR34" i="68"/>
  <c r="AG34" i="68"/>
  <c r="BZ34" i="68"/>
  <c r="BN34" i="68"/>
  <c r="AQ34" i="68"/>
  <c r="CV34" i="68"/>
  <c r="BX34" i="68"/>
  <c r="BM34" i="68"/>
  <c r="AP34" i="68"/>
  <c r="CU34" i="68"/>
  <c r="CH34" i="68"/>
  <c r="BW34" i="68"/>
  <c r="BJ34" i="68"/>
  <c r="AZ34" i="68"/>
  <c r="AO34" i="68"/>
  <c r="CT34" i="68"/>
  <c r="CF34" i="68"/>
  <c r="BV34" i="68"/>
  <c r="BH34" i="68"/>
  <c r="AY34" i="68"/>
  <c r="AL34" i="68"/>
  <c r="CS34" i="68"/>
  <c r="CE34" i="68"/>
  <c r="BU34" i="68"/>
  <c r="BG34" i="68"/>
  <c r="AX34" i="68"/>
  <c r="AJ34" i="68"/>
  <c r="BR34" i="68"/>
  <c r="CP34" i="68"/>
  <c r="AW34" i="68"/>
  <c r="AI34" i="68"/>
  <c r="BB33" i="68"/>
  <c r="BA33" i="68"/>
  <c r="N33" i="68" s="1"/>
  <c r="A36" i="68"/>
  <c r="B35" i="68"/>
  <c r="Z29" i="23" s="1"/>
  <c r="B29" i="25" s="1"/>
  <c r="BB33" i="65"/>
  <c r="BA33" i="65"/>
  <c r="N33" i="65" s="1"/>
  <c r="CR34" i="65"/>
  <c r="BT34" i="65"/>
  <c r="BL34" i="65"/>
  <c r="AV34" i="65"/>
  <c r="AN34" i="65"/>
  <c r="BS34" i="65"/>
  <c r="BK34" i="65"/>
  <c r="AU34" i="65"/>
  <c r="AM34" i="65"/>
  <c r="CW34" i="65"/>
  <c r="CO34" i="65"/>
  <c r="BY34" i="65"/>
  <c r="BQ34" i="65"/>
  <c r="BI34" i="65"/>
  <c r="AS34" i="65"/>
  <c r="AK34" i="65"/>
  <c r="D34" i="65"/>
  <c r="P28" i="23" s="1"/>
  <c r="T28" i="24" s="1"/>
  <c r="CV34" i="65"/>
  <c r="BX34" i="65"/>
  <c r="BM34" i="65"/>
  <c r="AP34" i="65"/>
  <c r="CU34" i="65"/>
  <c r="CH34" i="65"/>
  <c r="BW34" i="65"/>
  <c r="BJ34" i="65"/>
  <c r="AZ34" i="65"/>
  <c r="AO34" i="65"/>
  <c r="CN34" i="65"/>
  <c r="BP34" i="65"/>
  <c r="AT34" i="65"/>
  <c r="CE34" i="65"/>
  <c r="BO34" i="65"/>
  <c r="AY34" i="65"/>
  <c r="AH34" i="65"/>
  <c r="CD34" i="65"/>
  <c r="BN34" i="65"/>
  <c r="AX34" i="65"/>
  <c r="AG34" i="65"/>
  <c r="BH34" i="65"/>
  <c r="AW34" i="65"/>
  <c r="CT34" i="65"/>
  <c r="BG34" i="65"/>
  <c r="AR34" i="65"/>
  <c r="CS34" i="65"/>
  <c r="BZ34" i="65"/>
  <c r="AQ34" i="65"/>
  <c r="CP34" i="65"/>
  <c r="BV34" i="65"/>
  <c r="AL34" i="65"/>
  <c r="BU34" i="65"/>
  <c r="AJ34" i="65"/>
  <c r="CF34" i="65"/>
  <c r="BR34" i="65"/>
  <c r="AI34" i="65"/>
  <c r="A36" i="65"/>
  <c r="M30" i="23" s="1"/>
  <c r="P30" i="24" s="1"/>
  <c r="B35" i="65"/>
  <c r="N29" i="23" s="1"/>
  <c r="Q29" i="24" s="1"/>
  <c r="BB33" i="64"/>
  <c r="BA33" i="64"/>
  <c r="N33" i="64" s="1"/>
  <c r="CW34" i="64"/>
  <c r="CO34" i="64"/>
  <c r="BY34" i="64"/>
  <c r="BQ34" i="64"/>
  <c r="AS34" i="64"/>
  <c r="AK34" i="64"/>
  <c r="D34" i="64"/>
  <c r="L28" i="23" s="1"/>
  <c r="O28" i="24" s="1"/>
  <c r="CT34" i="64"/>
  <c r="CD34" i="64"/>
  <c r="BV34" i="64"/>
  <c r="BN34" i="64"/>
  <c r="AX34" i="64"/>
  <c r="AP34" i="64"/>
  <c r="AH34" i="64"/>
  <c r="CP34" i="64"/>
  <c r="CE34" i="64"/>
  <c r="BT34" i="64"/>
  <c r="BJ34" i="64"/>
  <c r="AZ34" i="64"/>
  <c r="AO34" i="64"/>
  <c r="CN34" i="64"/>
  <c r="BS34" i="64"/>
  <c r="BH34" i="64"/>
  <c r="AY34" i="64"/>
  <c r="AN34" i="64"/>
  <c r="BR34" i="64"/>
  <c r="BG34" i="64"/>
  <c r="AW34" i="64"/>
  <c r="AM34" i="64"/>
  <c r="CV34" i="64"/>
  <c r="BP34" i="64"/>
  <c r="AV34" i="64"/>
  <c r="AL34" i="64"/>
  <c r="CS34" i="64"/>
  <c r="BX34" i="64"/>
  <c r="BM34" i="64"/>
  <c r="AT34" i="64"/>
  <c r="AI34" i="64"/>
  <c r="CR34" i="64"/>
  <c r="CH34" i="64"/>
  <c r="BW34" i="64"/>
  <c r="BL34" i="64"/>
  <c r="AR34" i="64"/>
  <c r="AG34" i="64"/>
  <c r="BU34" i="64"/>
  <c r="BK34" i="64"/>
  <c r="AQ34" i="64"/>
  <c r="AU34" i="64"/>
  <c r="AJ34" i="64"/>
  <c r="BZ34" i="64"/>
  <c r="BO34" i="64"/>
  <c r="CU34" i="64"/>
  <c r="A36" i="64"/>
  <c r="I30" i="23" s="1"/>
  <c r="K30" i="24" s="1"/>
  <c r="B35" i="64"/>
  <c r="J29" i="23" s="1"/>
  <c r="L29" i="24" s="1"/>
  <c r="A36" i="63"/>
  <c r="E30" i="23" s="1"/>
  <c r="F30" i="24" s="1"/>
  <c r="B35" i="63"/>
  <c r="F29" i="23" s="1"/>
  <c r="G29" i="24" s="1"/>
  <c r="CW34" i="63"/>
  <c r="CO34" i="63"/>
  <c r="BY34" i="63"/>
  <c r="BQ34" i="63"/>
  <c r="BI34" i="63"/>
  <c r="AS34" i="63"/>
  <c r="AK34" i="63"/>
  <c r="D34" i="63"/>
  <c r="H28" i="23" s="1"/>
  <c r="J28" i="24" s="1"/>
  <c r="CV34" i="63"/>
  <c r="CN34" i="63"/>
  <c r="CF34" i="63"/>
  <c r="BX34" i="63"/>
  <c r="BP34" i="63"/>
  <c r="BH34" i="63"/>
  <c r="AZ34" i="63"/>
  <c r="AR34" i="63"/>
  <c r="AJ34" i="63"/>
  <c r="CT34" i="63"/>
  <c r="BV34" i="63"/>
  <c r="BN34" i="63"/>
  <c r="AX34" i="63"/>
  <c r="AP34" i="63"/>
  <c r="AH34" i="63"/>
  <c r="BZ34" i="63"/>
  <c r="BL34" i="63"/>
  <c r="AN34" i="63"/>
  <c r="BW34" i="63"/>
  <c r="BK34" i="63"/>
  <c r="AY34" i="63"/>
  <c r="AM34" i="63"/>
  <c r="CS34" i="63"/>
  <c r="CH34" i="63"/>
  <c r="BT34" i="63"/>
  <c r="AV34" i="63"/>
  <c r="AI34" i="63"/>
  <c r="CP34" i="63"/>
  <c r="BO34" i="63"/>
  <c r="BM34" i="63"/>
  <c r="AT34" i="63"/>
  <c r="BJ34" i="63"/>
  <c r="AQ34" i="63"/>
  <c r="AO34" i="63"/>
  <c r="AL34" i="63"/>
  <c r="CU34" i="63"/>
  <c r="AG34" i="63"/>
  <c r="CR34" i="63"/>
  <c r="BU34" i="63"/>
  <c r="BS34" i="63"/>
  <c r="BR34" i="63"/>
  <c r="AW34" i="63"/>
  <c r="AU34" i="63"/>
  <c r="CA33" i="63"/>
  <c r="O33" i="63" s="1"/>
  <c r="BB33" i="63"/>
  <c r="BA33" i="63"/>
  <c r="N33" i="63" s="1"/>
  <c r="O27" i="25" l="1"/>
  <c r="AJ27" i="23"/>
  <c r="AH28" i="23"/>
  <c r="L28" i="25" s="1"/>
  <c r="CG34" i="70"/>
  <c r="AN34" i="70"/>
  <c r="AS34" i="70"/>
  <c r="AJ34" i="70"/>
  <c r="AH34" i="70"/>
  <c r="BM34" i="70"/>
  <c r="CK34" i="70"/>
  <c r="BK34" i="70"/>
  <c r="AK34" i="70"/>
  <c r="CD34" i="70"/>
  <c r="BO34" i="70"/>
  <c r="AP34" i="70"/>
  <c r="BH34" i="70"/>
  <c r="CQ34" i="70"/>
  <c r="AU34" i="70"/>
  <c r="D34" i="70"/>
  <c r="BR34" i="70"/>
  <c r="AR34" i="70"/>
  <c r="AY34" i="70"/>
  <c r="CL34" i="70"/>
  <c r="AM34" i="70"/>
  <c r="CS34" i="70"/>
  <c r="AW34" i="70"/>
  <c r="AG34" i="70"/>
  <c r="BW34" i="70"/>
  <c r="AL34" i="70"/>
  <c r="CM34" i="70"/>
  <c r="CR34" i="70"/>
  <c r="CW34" i="70"/>
  <c r="CE34" i="70"/>
  <c r="AI34" i="70"/>
  <c r="BZ34" i="70"/>
  <c r="BJ34" i="70"/>
  <c r="BT34" i="70"/>
  <c r="CO34" i="70"/>
  <c r="BU34" i="70"/>
  <c r="CN34" i="70"/>
  <c r="BN34" i="70"/>
  <c r="AZ34" i="70"/>
  <c r="BV34" i="70"/>
  <c r="CI34" i="70"/>
  <c r="BL34" i="70"/>
  <c r="BY34" i="70"/>
  <c r="BG34" i="70"/>
  <c r="BP34" i="70"/>
  <c r="AQ34" i="70"/>
  <c r="AO34" i="70"/>
  <c r="CJ34" i="70"/>
  <c r="AV34" i="70"/>
  <c r="BQ34" i="70"/>
  <c r="AX34" i="70"/>
  <c r="AT34" i="70"/>
  <c r="CV34" i="70"/>
  <c r="CT34" i="70"/>
  <c r="AG29" i="23"/>
  <c r="K29" i="25" s="1"/>
  <c r="A36" i="70"/>
  <c r="B35" i="70"/>
  <c r="BB33" i="70"/>
  <c r="BA33" i="70"/>
  <c r="N33" i="70" s="1"/>
  <c r="A37" i="68"/>
  <c r="Y30" i="23"/>
  <c r="A30" i="25" s="1"/>
  <c r="AV28" i="23"/>
  <c r="AD28" i="25"/>
  <c r="U29" i="23"/>
  <c r="Z29" i="24" s="1"/>
  <c r="A36" i="67"/>
  <c r="B35" i="67"/>
  <c r="V28" i="23"/>
  <c r="AA28" i="24" s="1"/>
  <c r="CL34" i="67"/>
  <c r="CW34" i="67"/>
  <c r="CV34" i="67"/>
  <c r="AJ34" i="67"/>
  <c r="BZ34" i="67"/>
  <c r="BM34" i="67"/>
  <c r="CM34" i="67"/>
  <c r="CO34" i="67"/>
  <c r="CN34" i="67"/>
  <c r="CT34" i="67"/>
  <c r="BL34" i="67"/>
  <c r="AW34" i="67"/>
  <c r="BS34" i="67"/>
  <c r="AO34" i="67"/>
  <c r="CS34" i="67"/>
  <c r="CJ34" i="67"/>
  <c r="BY34" i="67"/>
  <c r="CF34" i="67"/>
  <c r="CD34" i="67"/>
  <c r="AN34" i="67"/>
  <c r="AL34" i="67"/>
  <c r="AU34" i="67"/>
  <c r="AQ34" i="67"/>
  <c r="BW34" i="67"/>
  <c r="BR34" i="67"/>
  <c r="CK34" i="67"/>
  <c r="BQ34" i="67"/>
  <c r="BX34" i="67"/>
  <c r="BV34" i="67"/>
  <c r="AG34" i="67"/>
  <c r="BI34" i="67"/>
  <c r="BP34" i="67"/>
  <c r="BN34" i="67"/>
  <c r="BK34" i="67"/>
  <c r="BG34" i="67"/>
  <c r="AS34" i="67"/>
  <c r="BH34" i="67"/>
  <c r="AX34" i="67"/>
  <c r="AY34" i="67"/>
  <c r="AV34" i="67"/>
  <c r="AT34" i="67"/>
  <c r="BU34" i="67"/>
  <c r="CI34" i="67"/>
  <c r="AK34" i="67"/>
  <c r="AZ34" i="67"/>
  <c r="AP34" i="67"/>
  <c r="AM34" i="67"/>
  <c r="AI34" i="67"/>
  <c r="CP34" i="67"/>
  <c r="CE34" i="67"/>
  <c r="CQ34" i="67"/>
  <c r="D34" i="67"/>
  <c r="X28" i="23" s="1"/>
  <c r="AD28" i="24" s="1"/>
  <c r="AR34" i="67"/>
  <c r="AH34" i="67"/>
  <c r="CU34" i="67"/>
  <c r="CR34" i="67"/>
  <c r="BO34" i="67"/>
  <c r="J28" i="25"/>
  <c r="AF28" i="23"/>
  <c r="BB33" i="67"/>
  <c r="BA33" i="67"/>
  <c r="N33" i="67" s="1"/>
  <c r="Y27" i="25"/>
  <c r="AR27" i="23"/>
  <c r="T28" i="25"/>
  <c r="AN28" i="23"/>
  <c r="BB33" i="66"/>
  <c r="BA33" i="66"/>
  <c r="N33" i="66" s="1"/>
  <c r="CA33" i="66"/>
  <c r="O33" i="66" s="1"/>
  <c r="Q29" i="23"/>
  <c r="U29" i="24" s="1"/>
  <c r="A36" i="66"/>
  <c r="B35" i="66"/>
  <c r="R28" i="23"/>
  <c r="V28" i="24" s="1"/>
  <c r="CG34" i="66"/>
  <c r="CO34" i="66"/>
  <c r="CN34" i="66"/>
  <c r="CT34" i="66"/>
  <c r="BK34" i="66"/>
  <c r="BR34" i="66"/>
  <c r="AN34" i="66"/>
  <c r="CH34" i="66"/>
  <c r="AL34" i="66"/>
  <c r="CJ34" i="66"/>
  <c r="BY34" i="66"/>
  <c r="CF34" i="66"/>
  <c r="CD34" i="66"/>
  <c r="AY34" i="66"/>
  <c r="AT34" i="66"/>
  <c r="CS34" i="66"/>
  <c r="BL34" i="66"/>
  <c r="BJ34" i="66"/>
  <c r="BQ34" i="66"/>
  <c r="BX34" i="66"/>
  <c r="BV34" i="66"/>
  <c r="AM34" i="66"/>
  <c r="CP34" i="66"/>
  <c r="BZ34" i="66"/>
  <c r="AW34" i="66"/>
  <c r="BU34" i="66"/>
  <c r="CI34" i="66"/>
  <c r="BI34" i="66"/>
  <c r="BP34" i="66"/>
  <c r="BN34" i="66"/>
  <c r="CR34" i="66"/>
  <c r="BO34" i="66"/>
  <c r="AV34" i="66"/>
  <c r="CQ34" i="66"/>
  <c r="AS34" i="66"/>
  <c r="BH34" i="66"/>
  <c r="AX34" i="66"/>
  <c r="CE34" i="66"/>
  <c r="AQ34" i="66"/>
  <c r="CK34" i="66"/>
  <c r="AK34" i="66"/>
  <c r="AZ34" i="66"/>
  <c r="AP34" i="66"/>
  <c r="BS34" i="66"/>
  <c r="BG34" i="66"/>
  <c r="AI34" i="66"/>
  <c r="CU34" i="66"/>
  <c r="CL34" i="66"/>
  <c r="D34" i="66"/>
  <c r="T28" i="23" s="1"/>
  <c r="Y28" i="24" s="1"/>
  <c r="AR34" i="66"/>
  <c r="AH34" i="66"/>
  <c r="AU34" i="66"/>
  <c r="AO34" i="66"/>
  <c r="BT34" i="66"/>
  <c r="AG34" i="66"/>
  <c r="CM34" i="66"/>
  <c r="CW34" i="66"/>
  <c r="CV34" i="66"/>
  <c r="AJ34" i="66"/>
  <c r="BW34" i="66"/>
  <c r="BM34" i="66"/>
  <c r="CQ35" i="68"/>
  <c r="BV35" i="68"/>
  <c r="CF35" i="68"/>
  <c r="BL35" i="68"/>
  <c r="AP35" i="68"/>
  <c r="AX35" i="68"/>
  <c r="CN35" i="68"/>
  <c r="BI35" i="68"/>
  <c r="CP35" i="68"/>
  <c r="CD35" i="68"/>
  <c r="AW35" i="68"/>
  <c r="CR35" i="68"/>
  <c r="BW35" i="68"/>
  <c r="CG35" i="68"/>
  <c r="BM35" i="68"/>
  <c r="AI35" i="68"/>
  <c r="AQ35" i="68"/>
  <c r="AY35" i="68"/>
  <c r="BZ35" i="68"/>
  <c r="BP35" i="68"/>
  <c r="AT35" i="68"/>
  <c r="CK35" i="68"/>
  <c r="CS35" i="68"/>
  <c r="BX35" i="68"/>
  <c r="CH35" i="68"/>
  <c r="BN35" i="68"/>
  <c r="AJ35" i="68"/>
  <c r="AR35" i="68"/>
  <c r="AZ35" i="68"/>
  <c r="CM35" i="68"/>
  <c r="CU35" i="68"/>
  <c r="BR35" i="68"/>
  <c r="BG35" i="68"/>
  <c r="CV35" i="68"/>
  <c r="BS35" i="68"/>
  <c r="CL35" i="68"/>
  <c r="CT35" i="68"/>
  <c r="BQ35" i="68"/>
  <c r="BY35" i="68"/>
  <c r="CI35" i="68"/>
  <c r="BO35" i="68"/>
  <c r="AK35" i="68"/>
  <c r="AS35" i="68"/>
  <c r="AL35" i="68"/>
  <c r="AM35" i="68"/>
  <c r="CW35" i="68"/>
  <c r="BJ35" i="68"/>
  <c r="AV35" i="68"/>
  <c r="BU35" i="68"/>
  <c r="BK35" i="68"/>
  <c r="AO35" i="68"/>
  <c r="AU35" i="68"/>
  <c r="CO35" i="68"/>
  <c r="BT35" i="68"/>
  <c r="AN35" i="68"/>
  <c r="BH35" i="68"/>
  <c r="CJ34" i="72"/>
  <c r="CG34" i="72"/>
  <c r="CK34" i="72"/>
  <c r="CQ34" i="72"/>
  <c r="CL34" i="72"/>
  <c r="CI34" i="72"/>
  <c r="CM34" i="72"/>
  <c r="CK35" i="73"/>
  <c r="CG35" i="73"/>
  <c r="CI35" i="73"/>
  <c r="CL35" i="73"/>
  <c r="CM35" i="73"/>
  <c r="CQ35" i="73"/>
  <c r="CJ35" i="73"/>
  <c r="CI35" i="69"/>
  <c r="CQ35" i="69"/>
  <c r="CJ35" i="69"/>
  <c r="CK35" i="69"/>
  <c r="CL35" i="69"/>
  <c r="CG35" i="69"/>
  <c r="CM35" i="69"/>
  <c r="CQ35" i="71"/>
  <c r="CI35" i="71"/>
  <c r="CL35" i="71"/>
  <c r="CM35" i="71"/>
  <c r="CJ35" i="71"/>
  <c r="CK35" i="71"/>
  <c r="CG35" i="71"/>
  <c r="CG35" i="65"/>
  <c r="CQ35" i="65"/>
  <c r="CJ35" i="65"/>
  <c r="CK35" i="65"/>
  <c r="CL35" i="65"/>
  <c r="CM35" i="65"/>
  <c r="CI35" i="64"/>
  <c r="CJ35" i="64"/>
  <c r="CK35" i="64"/>
  <c r="CL35" i="64"/>
  <c r="CQ35" i="64"/>
  <c r="CM35" i="64"/>
  <c r="CI35" i="63"/>
  <c r="CJ35" i="63"/>
  <c r="CK35" i="63"/>
  <c r="CL35" i="63"/>
  <c r="CM35" i="63"/>
  <c r="CG35" i="63"/>
  <c r="CQ35" i="63"/>
  <c r="CX34" i="73"/>
  <c r="P34" i="73" s="1"/>
  <c r="CX34" i="65"/>
  <c r="P34" i="65" s="1"/>
  <c r="CX34" i="69"/>
  <c r="P34" i="69" s="1"/>
  <c r="Q33" i="68"/>
  <c r="Q33" i="73"/>
  <c r="Q33" i="69"/>
  <c r="BB34" i="73"/>
  <c r="BA34" i="73"/>
  <c r="N34" i="73" s="1"/>
  <c r="CR35" i="73"/>
  <c r="BT35" i="73"/>
  <c r="BL35" i="73"/>
  <c r="AV35" i="73"/>
  <c r="AN35" i="73"/>
  <c r="BS35" i="73"/>
  <c r="BK35" i="73"/>
  <c r="AU35" i="73"/>
  <c r="AM35" i="73"/>
  <c r="CW35" i="73"/>
  <c r="CO35" i="73"/>
  <c r="BY35" i="73"/>
  <c r="BQ35" i="73"/>
  <c r="BI35" i="73"/>
  <c r="AS35" i="73"/>
  <c r="AK35" i="73"/>
  <c r="D35" i="73"/>
  <c r="CV35" i="73"/>
  <c r="BX35" i="73"/>
  <c r="BM35" i="73"/>
  <c r="AP35" i="73"/>
  <c r="CU35" i="73"/>
  <c r="CH35" i="73"/>
  <c r="BW35" i="73"/>
  <c r="BJ35" i="73"/>
  <c r="AZ35" i="73"/>
  <c r="AO35" i="73"/>
  <c r="CT35" i="73"/>
  <c r="CF35" i="73"/>
  <c r="BV35" i="73"/>
  <c r="BH35" i="73"/>
  <c r="AY35" i="73"/>
  <c r="AL35" i="73"/>
  <c r="CS35" i="73"/>
  <c r="CE35" i="73"/>
  <c r="BU35" i="73"/>
  <c r="BG35" i="73"/>
  <c r="AX35" i="73"/>
  <c r="AJ35" i="73"/>
  <c r="CN35" i="73"/>
  <c r="BP35" i="73"/>
  <c r="AT35" i="73"/>
  <c r="AH35" i="73"/>
  <c r="BO35" i="73"/>
  <c r="AR35" i="73"/>
  <c r="AG35" i="73"/>
  <c r="BZ35" i="73"/>
  <c r="BN35" i="73"/>
  <c r="AQ35" i="73"/>
  <c r="CP35" i="73"/>
  <c r="CD35" i="73"/>
  <c r="AW35" i="73"/>
  <c r="AI35" i="73"/>
  <c r="BR35" i="73"/>
  <c r="A37" i="73"/>
  <c r="AS31" i="23" s="1"/>
  <c r="Z31" i="25" s="1"/>
  <c r="B36" i="73"/>
  <c r="AT30" i="23" s="1"/>
  <c r="AA30" i="25" s="1"/>
  <c r="CA34" i="73"/>
  <c r="O34" i="73" s="1"/>
  <c r="BB33" i="72"/>
  <c r="BA33" i="72"/>
  <c r="N33" i="72" s="1"/>
  <c r="CA33" i="72"/>
  <c r="O33" i="72" s="1"/>
  <c r="CR34" i="72"/>
  <c r="BT34" i="72"/>
  <c r="BL34" i="72"/>
  <c r="AV34" i="72"/>
  <c r="AN34" i="72"/>
  <c r="BS34" i="72"/>
  <c r="BK34" i="72"/>
  <c r="AU34" i="72"/>
  <c r="AM34" i="72"/>
  <c r="CW34" i="72"/>
  <c r="CO34" i="72"/>
  <c r="BY34" i="72"/>
  <c r="BQ34" i="72"/>
  <c r="BI34" i="72"/>
  <c r="AS34" i="72"/>
  <c r="AK34" i="72"/>
  <c r="D34" i="72"/>
  <c r="BZ34" i="72"/>
  <c r="BN34" i="72"/>
  <c r="AQ34" i="72"/>
  <c r="CV34" i="72"/>
  <c r="BX34" i="72"/>
  <c r="BM34" i="72"/>
  <c r="CU34" i="72"/>
  <c r="CH34" i="72"/>
  <c r="BW34" i="72"/>
  <c r="BJ34" i="72"/>
  <c r="AZ34" i="72"/>
  <c r="AO34" i="72"/>
  <c r="CT34" i="72"/>
  <c r="BV34" i="72"/>
  <c r="BH34" i="72"/>
  <c r="AY34" i="72"/>
  <c r="AL34" i="72"/>
  <c r="CS34" i="72"/>
  <c r="CE34" i="72"/>
  <c r="BU34" i="72"/>
  <c r="BG34" i="72"/>
  <c r="AX34" i="72"/>
  <c r="AJ34" i="72"/>
  <c r="CP34" i="72"/>
  <c r="CD34" i="72"/>
  <c r="BR34" i="72"/>
  <c r="AW34" i="72"/>
  <c r="AI34" i="72"/>
  <c r="CN34" i="72"/>
  <c r="BP34" i="72"/>
  <c r="AG34" i="72"/>
  <c r="AT34" i="72"/>
  <c r="AR34" i="72"/>
  <c r="AP34" i="72"/>
  <c r="BO34" i="72"/>
  <c r="AH34" i="72"/>
  <c r="A36" i="72"/>
  <c r="AO30" i="23" s="1"/>
  <c r="U30" i="25" s="1"/>
  <c r="B35" i="72"/>
  <c r="AP29" i="23" s="1"/>
  <c r="V29" i="25" s="1"/>
  <c r="BB34" i="71"/>
  <c r="BA34" i="71"/>
  <c r="N34" i="71" s="1"/>
  <c r="CR35" i="71"/>
  <c r="BT35" i="71"/>
  <c r="BL35" i="71"/>
  <c r="AV35" i="71"/>
  <c r="AN35" i="71"/>
  <c r="BS35" i="71"/>
  <c r="BK35" i="71"/>
  <c r="AU35" i="71"/>
  <c r="AM35" i="71"/>
  <c r="CW35" i="71"/>
  <c r="CO35" i="71"/>
  <c r="BY35" i="71"/>
  <c r="BQ35" i="71"/>
  <c r="BI35" i="71"/>
  <c r="AS35" i="71"/>
  <c r="AK35" i="71"/>
  <c r="D35" i="71"/>
  <c r="CU35" i="71"/>
  <c r="CE35" i="71"/>
  <c r="BW35" i="71"/>
  <c r="BO35" i="71"/>
  <c r="BG35" i="71"/>
  <c r="AY35" i="71"/>
  <c r="AQ35" i="71"/>
  <c r="AI35" i="71"/>
  <c r="BV35" i="71"/>
  <c r="AT35" i="71"/>
  <c r="CH35" i="71"/>
  <c r="BU35" i="71"/>
  <c r="AR35" i="71"/>
  <c r="CV35" i="71"/>
  <c r="CF35" i="71"/>
  <c r="BR35" i="71"/>
  <c r="AP35" i="71"/>
  <c r="CT35" i="71"/>
  <c r="BP35" i="71"/>
  <c r="AO35" i="71"/>
  <c r="CS35" i="71"/>
  <c r="BN35" i="71"/>
  <c r="AL35" i="71"/>
  <c r="CP35" i="71"/>
  <c r="BM35" i="71"/>
  <c r="AZ35" i="71"/>
  <c r="AJ35" i="71"/>
  <c r="BZ35" i="71"/>
  <c r="BJ35" i="71"/>
  <c r="AX35" i="71"/>
  <c r="AH35" i="71"/>
  <c r="AG35" i="71"/>
  <c r="BX35" i="71"/>
  <c r="BH35" i="71"/>
  <c r="AW35" i="71"/>
  <c r="A37" i="71"/>
  <c r="AK31" i="23" s="1"/>
  <c r="P31" i="25" s="1"/>
  <c r="B36" i="71"/>
  <c r="AL30" i="23" s="1"/>
  <c r="Q30" i="25" s="1"/>
  <c r="BB34" i="69"/>
  <c r="BA34" i="69"/>
  <c r="N34" i="69" s="1"/>
  <c r="CA34" i="69"/>
  <c r="O34" i="69" s="1"/>
  <c r="CR35" i="69"/>
  <c r="BT35" i="69"/>
  <c r="AV35" i="69"/>
  <c r="AN35" i="69"/>
  <c r="BS35" i="69"/>
  <c r="BK35" i="69"/>
  <c r="AU35" i="69"/>
  <c r="AM35" i="69"/>
  <c r="CW35" i="69"/>
  <c r="CO35" i="69"/>
  <c r="BY35" i="69"/>
  <c r="BI35" i="69"/>
  <c r="AS35" i="69"/>
  <c r="AK35" i="69"/>
  <c r="D35" i="69"/>
  <c r="BZ35" i="69"/>
  <c r="BN35" i="69"/>
  <c r="AQ35" i="69"/>
  <c r="CU35" i="69"/>
  <c r="CH35" i="69"/>
  <c r="BW35" i="69"/>
  <c r="BJ35" i="69"/>
  <c r="AZ35" i="69"/>
  <c r="AO35" i="69"/>
  <c r="CT35" i="69"/>
  <c r="CF35" i="69"/>
  <c r="BV35" i="69"/>
  <c r="BH35" i="69"/>
  <c r="AY35" i="69"/>
  <c r="AL35" i="69"/>
  <c r="CS35" i="69"/>
  <c r="CE35" i="69"/>
  <c r="BU35" i="69"/>
  <c r="AX35" i="69"/>
  <c r="AJ35" i="69"/>
  <c r="CP35" i="69"/>
  <c r="BR35" i="69"/>
  <c r="AW35" i="69"/>
  <c r="AI35" i="69"/>
  <c r="BP35" i="69"/>
  <c r="AT35" i="69"/>
  <c r="CV35" i="69"/>
  <c r="BO35" i="69"/>
  <c r="AR35" i="69"/>
  <c r="BM35" i="69"/>
  <c r="AP35" i="69"/>
  <c r="AH35" i="69"/>
  <c r="AG35" i="69"/>
  <c r="BX35" i="69"/>
  <c r="A37" i="69"/>
  <c r="AC31" i="23" s="1"/>
  <c r="F31" i="25" s="1"/>
  <c r="B36" i="69"/>
  <c r="AD30" i="23" s="1"/>
  <c r="G30" i="25" s="1"/>
  <c r="AH35" i="68"/>
  <c r="D35" i="68"/>
  <c r="AB29" i="23" s="1"/>
  <c r="E29" i="25" s="1"/>
  <c r="AG35" i="68"/>
  <c r="B36" i="68"/>
  <c r="Z30" i="23" s="1"/>
  <c r="B30" i="25" s="1"/>
  <c r="CA34" i="68"/>
  <c r="O34" i="68" s="1"/>
  <c r="BB34" i="68"/>
  <c r="BA34" i="68"/>
  <c r="N34" i="68" s="1"/>
  <c r="CA34" i="65"/>
  <c r="O34" i="65" s="1"/>
  <c r="CU35" i="65"/>
  <c r="CE35" i="65"/>
  <c r="BW35" i="65"/>
  <c r="BO35" i="65"/>
  <c r="BG35" i="65"/>
  <c r="AY35" i="65"/>
  <c r="AQ35" i="65"/>
  <c r="AI35" i="65"/>
  <c r="CT35" i="65"/>
  <c r="BV35" i="65"/>
  <c r="BN35" i="65"/>
  <c r="AX35" i="65"/>
  <c r="AP35" i="65"/>
  <c r="AH35" i="65"/>
  <c r="CR35" i="65"/>
  <c r="BT35" i="65"/>
  <c r="BL35" i="65"/>
  <c r="AV35" i="65"/>
  <c r="AN35" i="65"/>
  <c r="CF35" i="65"/>
  <c r="BS35" i="65"/>
  <c r="BH35" i="65"/>
  <c r="AW35" i="65"/>
  <c r="AK35" i="65"/>
  <c r="CP35" i="65"/>
  <c r="BR35" i="65"/>
  <c r="AU35" i="65"/>
  <c r="AJ35" i="65"/>
  <c r="CW35" i="65"/>
  <c r="BY35" i="65"/>
  <c r="BK35" i="65"/>
  <c r="AO35" i="65"/>
  <c r="D35" i="65"/>
  <c r="P29" i="23" s="1"/>
  <c r="T29" i="24" s="1"/>
  <c r="CV35" i="65"/>
  <c r="CH35" i="65"/>
  <c r="BX35" i="65"/>
  <c r="BJ35" i="65"/>
  <c r="AM35" i="65"/>
  <c r="CS35" i="65"/>
  <c r="BZ35" i="65"/>
  <c r="CO35" i="65"/>
  <c r="BU35" i="65"/>
  <c r="CN35" i="65"/>
  <c r="BQ35" i="65"/>
  <c r="AZ35" i="65"/>
  <c r="BP35" i="65"/>
  <c r="AT35" i="65"/>
  <c r="BM35" i="65"/>
  <c r="AS35" i="65"/>
  <c r="BI35" i="65"/>
  <c r="AR35" i="65"/>
  <c r="AL35" i="65"/>
  <c r="AG35" i="65"/>
  <c r="A37" i="65"/>
  <c r="M31" i="23" s="1"/>
  <c r="P31" i="24" s="1"/>
  <c r="B36" i="65"/>
  <c r="N30" i="23" s="1"/>
  <c r="Q30" i="24" s="1"/>
  <c r="BB34" i="65"/>
  <c r="BA34" i="65"/>
  <c r="N34" i="65" s="1"/>
  <c r="A37" i="64"/>
  <c r="I31" i="23" s="1"/>
  <c r="K31" i="24" s="1"/>
  <c r="B36" i="64"/>
  <c r="J30" i="23" s="1"/>
  <c r="L30" i="24" s="1"/>
  <c r="BB34" i="64"/>
  <c r="BA34" i="64"/>
  <c r="N34" i="64" s="1"/>
  <c r="CR35" i="64"/>
  <c r="BT35" i="64"/>
  <c r="BL35" i="64"/>
  <c r="AV35" i="64"/>
  <c r="AN35" i="64"/>
  <c r="BS35" i="64"/>
  <c r="BK35" i="64"/>
  <c r="AU35" i="64"/>
  <c r="CW35" i="64"/>
  <c r="CO35" i="64"/>
  <c r="BY35" i="64"/>
  <c r="BQ35" i="64"/>
  <c r="BI35" i="64"/>
  <c r="AS35" i="64"/>
  <c r="AK35" i="64"/>
  <c r="D35" i="64"/>
  <c r="L29" i="23" s="1"/>
  <c r="O29" i="24" s="1"/>
  <c r="CS35" i="64"/>
  <c r="CE35" i="64"/>
  <c r="BU35" i="64"/>
  <c r="BG35" i="64"/>
  <c r="AX35" i="64"/>
  <c r="AL35" i="64"/>
  <c r="CP35" i="64"/>
  <c r="CD35" i="64"/>
  <c r="BR35" i="64"/>
  <c r="AW35" i="64"/>
  <c r="AJ35" i="64"/>
  <c r="CN35" i="64"/>
  <c r="BP35" i="64"/>
  <c r="AT35" i="64"/>
  <c r="AI35" i="64"/>
  <c r="BO35" i="64"/>
  <c r="AR35" i="64"/>
  <c r="AH35" i="64"/>
  <c r="CV35" i="64"/>
  <c r="BX35" i="64"/>
  <c r="BM35" i="64"/>
  <c r="AP35" i="64"/>
  <c r="CU35" i="64"/>
  <c r="BW35" i="64"/>
  <c r="AZ35" i="64"/>
  <c r="AO35" i="64"/>
  <c r="CT35" i="64"/>
  <c r="CF35" i="64"/>
  <c r="BV35" i="64"/>
  <c r="BH35" i="64"/>
  <c r="AY35" i="64"/>
  <c r="AM35" i="64"/>
  <c r="AQ35" i="64"/>
  <c r="AG35" i="64"/>
  <c r="BZ35" i="64"/>
  <c r="BN35" i="64"/>
  <c r="BB34" i="63"/>
  <c r="BA34" i="63"/>
  <c r="N34" i="63" s="1"/>
  <c r="CR35" i="63"/>
  <c r="BT35" i="63"/>
  <c r="BL35" i="63"/>
  <c r="AV35" i="63"/>
  <c r="AN35" i="63"/>
  <c r="BS35" i="63"/>
  <c r="BK35" i="63"/>
  <c r="AU35" i="63"/>
  <c r="AM35" i="63"/>
  <c r="CW35" i="63"/>
  <c r="CO35" i="63"/>
  <c r="BY35" i="63"/>
  <c r="BQ35" i="63"/>
  <c r="BI35" i="63"/>
  <c r="AS35" i="63"/>
  <c r="AK35" i="63"/>
  <c r="D35" i="63"/>
  <c r="H29" i="23" s="1"/>
  <c r="J29" i="24" s="1"/>
  <c r="CT35" i="63"/>
  <c r="BV35" i="63"/>
  <c r="AY35" i="63"/>
  <c r="AL35" i="63"/>
  <c r="CS35" i="63"/>
  <c r="BU35" i="63"/>
  <c r="BG35" i="63"/>
  <c r="AX35" i="63"/>
  <c r="AJ35" i="63"/>
  <c r="CN35" i="63"/>
  <c r="BP35" i="63"/>
  <c r="AT35" i="63"/>
  <c r="AH35" i="63"/>
  <c r="BO35" i="63"/>
  <c r="AR35" i="63"/>
  <c r="AG35" i="63"/>
  <c r="CV35" i="63"/>
  <c r="BX35" i="63"/>
  <c r="BM35" i="63"/>
  <c r="AP35" i="63"/>
  <c r="CH35" i="63"/>
  <c r="BJ35" i="63"/>
  <c r="AO35" i="63"/>
  <c r="CD35" i="63"/>
  <c r="AI35" i="63"/>
  <c r="BZ35" i="63"/>
  <c r="CU35" i="63"/>
  <c r="BW35" i="63"/>
  <c r="AZ35" i="63"/>
  <c r="CP35" i="63"/>
  <c r="AW35" i="63"/>
  <c r="AQ35" i="63"/>
  <c r="BR35" i="63"/>
  <c r="BN35" i="63"/>
  <c r="A37" i="63"/>
  <c r="E31" i="23" s="1"/>
  <c r="F31" i="24" s="1"/>
  <c r="B36" i="63"/>
  <c r="F30" i="23" s="1"/>
  <c r="G30" i="24" s="1"/>
  <c r="AH29" i="23" l="1"/>
  <c r="L29" i="25" s="1"/>
  <c r="AQ35" i="70"/>
  <c r="AH35" i="70"/>
  <c r="BZ35" i="70"/>
  <c r="BX35" i="70"/>
  <c r="BS35" i="70"/>
  <c r="CO35" i="70"/>
  <c r="AS35" i="70"/>
  <c r="CI35" i="70"/>
  <c r="AI35" i="70"/>
  <c r="CR35" i="70"/>
  <c r="BM35" i="70"/>
  <c r="AM35" i="70"/>
  <c r="BH35" i="70"/>
  <c r="BQ35" i="70"/>
  <c r="CH35" i="70"/>
  <c r="CK35" i="70"/>
  <c r="CU35" i="70"/>
  <c r="CT35" i="70"/>
  <c r="BL35" i="70"/>
  <c r="AR35" i="70"/>
  <c r="CS35" i="70"/>
  <c r="AW35" i="70"/>
  <c r="AT35" i="70"/>
  <c r="AP35" i="70"/>
  <c r="CL35" i="70"/>
  <c r="CE35" i="70"/>
  <c r="CD35" i="70"/>
  <c r="AV35" i="70"/>
  <c r="CW35" i="70"/>
  <c r="BU35" i="70"/>
  <c r="AK35" i="70"/>
  <c r="AG35" i="70"/>
  <c r="CF35" i="70"/>
  <c r="CM35" i="70"/>
  <c r="BW35" i="70"/>
  <c r="BV35" i="70"/>
  <c r="AN35" i="70"/>
  <c r="BK35" i="70"/>
  <c r="BI35" i="70"/>
  <c r="CP35" i="70"/>
  <c r="CQ35" i="70"/>
  <c r="BO35" i="70"/>
  <c r="BN35" i="70"/>
  <c r="CN35" i="70"/>
  <c r="AO35" i="70"/>
  <c r="AZ35" i="70"/>
  <c r="BR35" i="70"/>
  <c r="AY35" i="70"/>
  <c r="CJ35" i="70"/>
  <c r="BG35" i="70"/>
  <c r="AX35" i="70"/>
  <c r="BP35" i="70"/>
  <c r="D35" i="70"/>
  <c r="AL35" i="70"/>
  <c r="AU35" i="70"/>
  <c r="AJ35" i="70"/>
  <c r="AG30" i="23"/>
  <c r="K30" i="25" s="1"/>
  <c r="A37" i="70"/>
  <c r="B36" i="70"/>
  <c r="BA34" i="70"/>
  <c r="N34" i="70" s="1"/>
  <c r="BB34" i="70"/>
  <c r="AJ28" i="23"/>
  <c r="O28" i="25"/>
  <c r="B37" i="68"/>
  <c r="Y31" i="23"/>
  <c r="A31" i="25" s="1"/>
  <c r="BA34" i="67"/>
  <c r="N34" i="67" s="1"/>
  <c r="BB34" i="67"/>
  <c r="U30" i="23"/>
  <c r="Z30" i="24" s="1"/>
  <c r="A37" i="67"/>
  <c r="B36" i="67"/>
  <c r="T29" i="25"/>
  <c r="AN29" i="23"/>
  <c r="AR28" i="23"/>
  <c r="Y28" i="25"/>
  <c r="G68" i="68"/>
  <c r="G72" i="68"/>
  <c r="G62" i="68"/>
  <c r="J29" i="25"/>
  <c r="AF29" i="23"/>
  <c r="AV29" i="23"/>
  <c r="AD29" i="25"/>
  <c r="V29" i="23"/>
  <c r="AA29" i="24" s="1"/>
  <c r="CK35" i="67"/>
  <c r="CW35" i="67"/>
  <c r="CT35" i="67"/>
  <c r="BG35" i="67"/>
  <c r="CN35" i="67"/>
  <c r="BN35" i="67"/>
  <c r="BJ35" i="67"/>
  <c r="BX35" i="67"/>
  <c r="CG35" i="67"/>
  <c r="BT35" i="67"/>
  <c r="CO35" i="67"/>
  <c r="CF35" i="67"/>
  <c r="AX35" i="67"/>
  <c r="BP35" i="67"/>
  <c r="AQ35" i="67"/>
  <c r="AZ35" i="67"/>
  <c r="CM35" i="67"/>
  <c r="BL35" i="67"/>
  <c r="BY35" i="67"/>
  <c r="BV35" i="67"/>
  <c r="AJ35" i="67"/>
  <c r="AT35" i="67"/>
  <c r="CV35" i="67"/>
  <c r="AO35" i="67"/>
  <c r="CP35" i="67"/>
  <c r="AV35" i="67"/>
  <c r="BQ35" i="67"/>
  <c r="BH35" i="67"/>
  <c r="AH35" i="67"/>
  <c r="CI35" i="67"/>
  <c r="AN35" i="67"/>
  <c r="BI35" i="67"/>
  <c r="AY35" i="67"/>
  <c r="CD35" i="67"/>
  <c r="BO35" i="67"/>
  <c r="BM35" i="67"/>
  <c r="CQ35" i="67"/>
  <c r="BS35" i="67"/>
  <c r="AS35" i="67"/>
  <c r="AL35" i="67"/>
  <c r="BR35" i="67"/>
  <c r="AR35" i="67"/>
  <c r="AP35" i="67"/>
  <c r="BZ35" i="67"/>
  <c r="CJ35" i="67"/>
  <c r="AU35" i="67"/>
  <c r="AK35" i="67"/>
  <c r="CS35" i="67"/>
  <c r="AW35" i="67"/>
  <c r="AG35" i="67"/>
  <c r="CU35" i="67"/>
  <c r="AI35" i="67"/>
  <c r="CL35" i="67"/>
  <c r="AM35" i="67"/>
  <c r="D35" i="67"/>
  <c r="X29" i="23" s="1"/>
  <c r="AD29" i="24" s="1"/>
  <c r="CE35" i="67"/>
  <c r="BW35" i="67"/>
  <c r="BB34" i="66"/>
  <c r="BA34" i="66"/>
  <c r="N34" i="66" s="1"/>
  <c r="R29" i="23"/>
  <c r="V29" i="24" s="1"/>
  <c r="CK35" i="66"/>
  <c r="BT35" i="66"/>
  <c r="CW35" i="66"/>
  <c r="CS35" i="66"/>
  <c r="BR35" i="66"/>
  <c r="BX35" i="66"/>
  <c r="AW35" i="66"/>
  <c r="BW35" i="66"/>
  <c r="CL35" i="66"/>
  <c r="BL35" i="66"/>
  <c r="CO35" i="66"/>
  <c r="CE35" i="66"/>
  <c r="BO35" i="66"/>
  <c r="BM35" i="66"/>
  <c r="CH35" i="66"/>
  <c r="AH35" i="66"/>
  <c r="AZ35" i="66"/>
  <c r="AV35" i="66"/>
  <c r="BY35" i="66"/>
  <c r="BU35" i="66"/>
  <c r="AR35" i="66"/>
  <c r="AP35" i="66"/>
  <c r="BH35" i="66"/>
  <c r="CU35" i="66"/>
  <c r="BV35" i="66"/>
  <c r="CI35" i="66"/>
  <c r="AN35" i="66"/>
  <c r="BQ35" i="66"/>
  <c r="BG35" i="66"/>
  <c r="AG35" i="66"/>
  <c r="CT35" i="66"/>
  <c r="AT35" i="66"/>
  <c r="CQ35" i="66"/>
  <c r="BS35" i="66"/>
  <c r="BI35" i="66"/>
  <c r="AX35" i="66"/>
  <c r="BZ35" i="66"/>
  <c r="BP35" i="66"/>
  <c r="CF35" i="66"/>
  <c r="CJ35" i="66"/>
  <c r="BK35" i="66"/>
  <c r="AS35" i="66"/>
  <c r="AJ35" i="66"/>
  <c r="BN35" i="66"/>
  <c r="AY35" i="66"/>
  <c r="AO35" i="66"/>
  <c r="CG35" i="66"/>
  <c r="AU35" i="66"/>
  <c r="AK35" i="66"/>
  <c r="CP35" i="66"/>
  <c r="AQ35" i="66"/>
  <c r="CN35" i="66"/>
  <c r="AL35" i="66"/>
  <c r="CM35" i="66"/>
  <c r="CR35" i="66"/>
  <c r="AM35" i="66"/>
  <c r="D35" i="66"/>
  <c r="T29" i="23" s="1"/>
  <c r="Y29" i="24" s="1"/>
  <c r="CD35" i="66"/>
  <c r="CV35" i="66"/>
  <c r="BJ35" i="66"/>
  <c r="AI35" i="66"/>
  <c r="Q30" i="23"/>
  <c r="U30" i="24" s="1"/>
  <c r="A37" i="66"/>
  <c r="B36" i="66"/>
  <c r="CA34" i="66"/>
  <c r="O34" i="66" s="1"/>
  <c r="CS36" i="68"/>
  <c r="BU36" i="68"/>
  <c r="CD36" i="68"/>
  <c r="BM36" i="68"/>
  <c r="AN36" i="68"/>
  <c r="AV36" i="68"/>
  <c r="BR36" i="68"/>
  <c r="AS36" i="68"/>
  <c r="CJ36" i="68"/>
  <c r="CR36" i="68"/>
  <c r="AH36" i="68"/>
  <c r="CL36" i="68"/>
  <c r="CT36" i="68"/>
  <c r="BV36" i="68"/>
  <c r="CE36" i="68"/>
  <c r="BN36" i="68"/>
  <c r="AO36" i="68"/>
  <c r="AW36" i="68"/>
  <c r="CO36" i="68"/>
  <c r="CI36" i="68"/>
  <c r="AZ36" i="68"/>
  <c r="BZ36" i="68"/>
  <c r="CM36" i="68"/>
  <c r="CU36" i="68"/>
  <c r="BW36" i="68"/>
  <c r="CG36" i="68"/>
  <c r="BO36" i="68"/>
  <c r="AP36" i="68"/>
  <c r="AX36" i="68"/>
  <c r="CW36" i="68"/>
  <c r="BY36" i="68"/>
  <c r="AR36" i="68"/>
  <c r="AK36" i="68"/>
  <c r="CN36" i="68"/>
  <c r="CV36" i="68"/>
  <c r="BX36" i="68"/>
  <c r="CH36" i="68"/>
  <c r="BG36" i="68"/>
  <c r="BP36" i="68"/>
  <c r="AI36" i="68"/>
  <c r="AQ36" i="68"/>
  <c r="AY36" i="68"/>
  <c r="BQ36" i="68"/>
  <c r="BH36" i="68"/>
  <c r="AJ36" i="68"/>
  <c r="CP36" i="68"/>
  <c r="BJ36" i="68"/>
  <c r="CQ36" i="68"/>
  <c r="BS36" i="68"/>
  <c r="AT36" i="68"/>
  <c r="AG36" i="68"/>
  <c r="BT36" i="68"/>
  <c r="BL36" i="68"/>
  <c r="AM36" i="68"/>
  <c r="AU36" i="68"/>
  <c r="BK36" i="68"/>
  <c r="AL36" i="68"/>
  <c r="BI36" i="68"/>
  <c r="G74" i="68"/>
  <c r="G80" i="68"/>
  <c r="G81" i="68"/>
  <c r="G84" i="68"/>
  <c r="G75" i="68"/>
  <c r="G78" i="68"/>
  <c r="G65" i="68"/>
  <c r="G77" i="68"/>
  <c r="G83" i="68"/>
  <c r="G71" i="68"/>
  <c r="G82" i="68"/>
  <c r="G69" i="68"/>
  <c r="G64" i="68"/>
  <c r="G63" i="68"/>
  <c r="G76" i="68"/>
  <c r="G70" i="68"/>
  <c r="G66" i="68"/>
  <c r="BB35" i="68"/>
  <c r="BA35" i="68"/>
  <c r="N35" i="68" s="1"/>
  <c r="CA35" i="68"/>
  <c r="CI36" i="69"/>
  <c r="CJ36" i="69"/>
  <c r="CK36" i="69"/>
  <c r="CL36" i="69"/>
  <c r="CQ36" i="69"/>
  <c r="CM36" i="69"/>
  <c r="CG36" i="69"/>
  <c r="CG36" i="73"/>
  <c r="CI36" i="73"/>
  <c r="CJ36" i="73"/>
  <c r="CK36" i="73"/>
  <c r="CL36" i="73"/>
  <c r="CQ36" i="73"/>
  <c r="CM36" i="73"/>
  <c r="CQ36" i="71"/>
  <c r="CI36" i="71"/>
  <c r="CG36" i="71"/>
  <c r="CJ36" i="71"/>
  <c r="CK36" i="71"/>
  <c r="CL36" i="71"/>
  <c r="CM36" i="71"/>
  <c r="CI35" i="72"/>
  <c r="CJ35" i="72"/>
  <c r="CK35" i="72"/>
  <c r="CL35" i="72"/>
  <c r="CM35" i="72"/>
  <c r="CQ35" i="72"/>
  <c r="CI36" i="65"/>
  <c r="CK36" i="65"/>
  <c r="CG36" i="65"/>
  <c r="CL36" i="65"/>
  <c r="CM36" i="65"/>
  <c r="CQ36" i="65"/>
  <c r="CI36" i="64"/>
  <c r="CL36" i="64"/>
  <c r="CM36" i="64"/>
  <c r="CG36" i="64"/>
  <c r="CQ36" i="64"/>
  <c r="CJ36" i="64"/>
  <c r="CK36" i="64"/>
  <c r="CI36" i="63"/>
  <c r="CJ36" i="63"/>
  <c r="CK36" i="63"/>
  <c r="CL36" i="63"/>
  <c r="CM36" i="63"/>
  <c r="CQ36" i="63"/>
  <c r="CX35" i="73"/>
  <c r="P35" i="73" s="1"/>
  <c r="Q34" i="65"/>
  <c r="Q34" i="69"/>
  <c r="CU36" i="73"/>
  <c r="CE36" i="73"/>
  <c r="BW36" i="73"/>
  <c r="BO36" i="73"/>
  <c r="BG36" i="73"/>
  <c r="AY36" i="73"/>
  <c r="AQ36" i="73"/>
  <c r="AI36" i="73"/>
  <c r="CT36" i="73"/>
  <c r="CD36" i="73"/>
  <c r="BV36" i="73"/>
  <c r="BN36" i="73"/>
  <c r="AX36" i="73"/>
  <c r="AP36" i="73"/>
  <c r="AH36" i="73"/>
  <c r="CR36" i="73"/>
  <c r="BT36" i="73"/>
  <c r="BL36" i="73"/>
  <c r="AV36" i="73"/>
  <c r="AN36" i="73"/>
  <c r="CF36" i="73"/>
  <c r="BS36" i="73"/>
  <c r="BH36" i="73"/>
  <c r="AW36" i="73"/>
  <c r="AK36" i="73"/>
  <c r="CP36" i="73"/>
  <c r="BR36" i="73"/>
  <c r="AU36" i="73"/>
  <c r="AJ36" i="73"/>
  <c r="CO36" i="73"/>
  <c r="BQ36" i="73"/>
  <c r="AT36" i="73"/>
  <c r="AG36" i="73"/>
  <c r="CN36" i="73"/>
  <c r="BP36" i="73"/>
  <c r="AS36" i="73"/>
  <c r="CW36" i="73"/>
  <c r="BY36" i="73"/>
  <c r="BK36" i="73"/>
  <c r="AO36" i="73"/>
  <c r="D36" i="73"/>
  <c r="CV36" i="73"/>
  <c r="CH36" i="73"/>
  <c r="BX36" i="73"/>
  <c r="BJ36" i="73"/>
  <c r="AM36" i="73"/>
  <c r="CS36" i="73"/>
  <c r="BU36" i="73"/>
  <c r="BI36" i="73"/>
  <c r="AZ36" i="73"/>
  <c r="AL36" i="73"/>
  <c r="BZ36" i="73"/>
  <c r="BM36" i="73"/>
  <c r="AR36" i="73"/>
  <c r="A38" i="73"/>
  <c r="AS32" i="23" s="1"/>
  <c r="Z32" i="25" s="1"/>
  <c r="B37" i="73"/>
  <c r="AT31" i="23" s="1"/>
  <c r="AA31" i="25" s="1"/>
  <c r="BB35" i="73"/>
  <c r="BA35" i="73"/>
  <c r="N35" i="73" s="1"/>
  <c r="CA35" i="73"/>
  <c r="O35" i="73" s="1"/>
  <c r="Q34" i="73"/>
  <c r="A37" i="72"/>
  <c r="AO31" i="23" s="1"/>
  <c r="U31" i="25" s="1"/>
  <c r="B36" i="72"/>
  <c r="AP30" i="23" s="1"/>
  <c r="V30" i="25" s="1"/>
  <c r="CA34" i="72"/>
  <c r="O34" i="72" s="1"/>
  <c r="CU35" i="72"/>
  <c r="CE35" i="72"/>
  <c r="BW35" i="72"/>
  <c r="BO35" i="72"/>
  <c r="BG35" i="72"/>
  <c r="AY35" i="72"/>
  <c r="AQ35" i="72"/>
  <c r="AI35" i="72"/>
  <c r="CT35" i="72"/>
  <c r="CD35" i="72"/>
  <c r="BV35" i="72"/>
  <c r="BN35" i="72"/>
  <c r="AX35" i="72"/>
  <c r="AP35" i="72"/>
  <c r="AH35" i="72"/>
  <c r="CR35" i="72"/>
  <c r="BT35" i="72"/>
  <c r="BL35" i="72"/>
  <c r="AV35" i="72"/>
  <c r="AN35" i="72"/>
  <c r="CS35" i="72"/>
  <c r="BU35" i="72"/>
  <c r="BI35" i="72"/>
  <c r="AZ35" i="72"/>
  <c r="AL35" i="72"/>
  <c r="CF35" i="72"/>
  <c r="BS35" i="72"/>
  <c r="BH35" i="72"/>
  <c r="AW35" i="72"/>
  <c r="AK35" i="72"/>
  <c r="CP35" i="72"/>
  <c r="BR35" i="72"/>
  <c r="AU35" i="72"/>
  <c r="AJ35" i="72"/>
  <c r="CO35" i="72"/>
  <c r="BQ35" i="72"/>
  <c r="AT35" i="72"/>
  <c r="AG35" i="72"/>
  <c r="CN35" i="72"/>
  <c r="BP35" i="72"/>
  <c r="AS35" i="72"/>
  <c r="BZ35" i="72"/>
  <c r="BM35" i="72"/>
  <c r="AR35" i="72"/>
  <c r="CW35" i="72"/>
  <c r="BY35" i="72"/>
  <c r="BK35" i="72"/>
  <c r="AO35" i="72"/>
  <c r="D35" i="72"/>
  <c r="CV35" i="72"/>
  <c r="CH35" i="72"/>
  <c r="BX35" i="72"/>
  <c r="BJ35" i="72"/>
  <c r="AM35" i="72"/>
  <c r="BB34" i="72"/>
  <c r="BA34" i="72"/>
  <c r="N34" i="72" s="1"/>
  <c r="A38" i="71"/>
  <c r="AK32" i="23" s="1"/>
  <c r="P32" i="25" s="1"/>
  <c r="B37" i="71"/>
  <c r="AL31" i="23" s="1"/>
  <c r="Q31" i="25" s="1"/>
  <c r="CA35" i="71"/>
  <c r="O35" i="71" s="1"/>
  <c r="BB35" i="71"/>
  <c r="BA35" i="71"/>
  <c r="N35" i="71" s="1"/>
  <c r="CU36" i="71"/>
  <c r="BW36" i="71"/>
  <c r="BO36" i="71"/>
  <c r="BG36" i="71"/>
  <c r="AY36" i="71"/>
  <c r="AQ36" i="71"/>
  <c r="AI36" i="71"/>
  <c r="CT36" i="71"/>
  <c r="CD36" i="71"/>
  <c r="BV36" i="71"/>
  <c r="BN36" i="71"/>
  <c r="AX36" i="71"/>
  <c r="AP36" i="71"/>
  <c r="AH36" i="71"/>
  <c r="CR36" i="71"/>
  <c r="BT36" i="71"/>
  <c r="BL36" i="71"/>
  <c r="AV36" i="71"/>
  <c r="AN36" i="71"/>
  <c r="CP36" i="71"/>
  <c r="CH36" i="71"/>
  <c r="BZ36" i="71"/>
  <c r="BR36" i="71"/>
  <c r="BJ36" i="71"/>
  <c r="AT36" i="71"/>
  <c r="AL36" i="71"/>
  <c r="CW36" i="71"/>
  <c r="BS36" i="71"/>
  <c r="AR36" i="71"/>
  <c r="CV36" i="71"/>
  <c r="CF36" i="71"/>
  <c r="BQ36" i="71"/>
  <c r="AO36" i="71"/>
  <c r="CS36" i="71"/>
  <c r="BP36" i="71"/>
  <c r="AM36" i="71"/>
  <c r="BM36" i="71"/>
  <c r="AK36" i="71"/>
  <c r="BK36" i="71"/>
  <c r="AZ36" i="71"/>
  <c r="AJ36" i="71"/>
  <c r="CN36" i="71"/>
  <c r="BY36" i="71"/>
  <c r="BI36" i="71"/>
  <c r="AW36" i="71"/>
  <c r="AG36" i="71"/>
  <c r="BX36" i="71"/>
  <c r="BH36" i="71"/>
  <c r="AU36" i="71"/>
  <c r="AS36" i="71"/>
  <c r="D36" i="71"/>
  <c r="BU36" i="71"/>
  <c r="CU36" i="69"/>
  <c r="BW36" i="69"/>
  <c r="BO36" i="69"/>
  <c r="BG36" i="69"/>
  <c r="AY36" i="69"/>
  <c r="AQ36" i="69"/>
  <c r="AI36" i="69"/>
  <c r="CT36" i="69"/>
  <c r="CD36" i="69"/>
  <c r="BV36" i="69"/>
  <c r="BN36" i="69"/>
  <c r="AX36" i="69"/>
  <c r="AP36" i="69"/>
  <c r="AH36" i="69"/>
  <c r="CR36" i="69"/>
  <c r="BT36" i="69"/>
  <c r="BL36" i="69"/>
  <c r="AV36" i="69"/>
  <c r="AN36" i="69"/>
  <c r="CV36" i="69"/>
  <c r="CH36" i="69"/>
  <c r="BX36" i="69"/>
  <c r="BJ36" i="69"/>
  <c r="AM36" i="69"/>
  <c r="CS36" i="69"/>
  <c r="BU36" i="69"/>
  <c r="BI36" i="69"/>
  <c r="AZ36" i="69"/>
  <c r="AL36" i="69"/>
  <c r="CP36" i="69"/>
  <c r="AU36" i="69"/>
  <c r="AJ36" i="69"/>
  <c r="BQ36" i="69"/>
  <c r="AT36" i="69"/>
  <c r="AG36" i="69"/>
  <c r="CN36" i="69"/>
  <c r="BP36" i="69"/>
  <c r="AS36" i="69"/>
  <c r="BZ36" i="69"/>
  <c r="AR36" i="69"/>
  <c r="CF36" i="69"/>
  <c r="BY36" i="69"/>
  <c r="BS36" i="69"/>
  <c r="AW36" i="69"/>
  <c r="CW36" i="69"/>
  <c r="BK36" i="69"/>
  <c r="AO36" i="69"/>
  <c r="AK36" i="69"/>
  <c r="D36" i="69"/>
  <c r="A38" i="69"/>
  <c r="AC32" i="23" s="1"/>
  <c r="F32" i="25" s="1"/>
  <c r="B37" i="69"/>
  <c r="AD31" i="23" s="1"/>
  <c r="G31" i="25" s="1"/>
  <c r="BB35" i="69"/>
  <c r="BA35" i="69"/>
  <c r="N35" i="69" s="1"/>
  <c r="D36" i="68"/>
  <c r="AB30" i="23" s="1"/>
  <c r="E30" i="25" s="1"/>
  <c r="CA35" i="65"/>
  <c r="O35" i="65" s="1"/>
  <c r="CP36" i="65"/>
  <c r="CH36" i="65"/>
  <c r="BZ36" i="65"/>
  <c r="BR36" i="65"/>
  <c r="BJ36" i="65"/>
  <c r="AT36" i="65"/>
  <c r="AL36" i="65"/>
  <c r="CW36" i="65"/>
  <c r="CO36" i="65"/>
  <c r="BY36" i="65"/>
  <c r="BQ36" i="65"/>
  <c r="BI36" i="65"/>
  <c r="AS36" i="65"/>
  <c r="AK36" i="65"/>
  <c r="D36" i="65"/>
  <c r="P30" i="23" s="1"/>
  <c r="T30" i="24" s="1"/>
  <c r="CU36" i="65"/>
  <c r="BW36" i="65"/>
  <c r="BO36" i="65"/>
  <c r="AY36" i="65"/>
  <c r="AQ36" i="65"/>
  <c r="AI36" i="65"/>
  <c r="CR36" i="65"/>
  <c r="BS36" i="65"/>
  <c r="AR36" i="65"/>
  <c r="BP36" i="65"/>
  <c r="AP36" i="65"/>
  <c r="CV36" i="65"/>
  <c r="BV36" i="65"/>
  <c r="BK36" i="65"/>
  <c r="AW36" i="65"/>
  <c r="AJ36" i="65"/>
  <c r="CT36" i="65"/>
  <c r="BU36" i="65"/>
  <c r="BH36" i="65"/>
  <c r="AV36" i="65"/>
  <c r="AH36" i="65"/>
  <c r="BM36" i="65"/>
  <c r="AU36" i="65"/>
  <c r="CF36" i="65"/>
  <c r="AO36" i="65"/>
  <c r="AN36" i="65"/>
  <c r="AM36" i="65"/>
  <c r="AG36" i="65"/>
  <c r="CS36" i="65"/>
  <c r="BX36" i="65"/>
  <c r="CN36" i="65"/>
  <c r="BT36" i="65"/>
  <c r="AZ36" i="65"/>
  <c r="BN36" i="65"/>
  <c r="AX36" i="65"/>
  <c r="BB35" i="65"/>
  <c r="BA35" i="65"/>
  <c r="N35" i="65" s="1"/>
  <c r="A38" i="65"/>
  <c r="B37" i="65"/>
  <c r="N31" i="23" s="1"/>
  <c r="Q31" i="24" s="1"/>
  <c r="CU36" i="64"/>
  <c r="CE36" i="64"/>
  <c r="BW36" i="64"/>
  <c r="BO36" i="64"/>
  <c r="BG36" i="64"/>
  <c r="AY36" i="64"/>
  <c r="AQ36" i="64"/>
  <c r="AI36" i="64"/>
  <c r="CT36" i="64"/>
  <c r="CD36" i="64"/>
  <c r="BV36" i="64"/>
  <c r="BN36" i="64"/>
  <c r="AX36" i="64"/>
  <c r="AP36" i="64"/>
  <c r="AH36" i="64"/>
  <c r="CR36" i="64"/>
  <c r="BT36" i="64"/>
  <c r="BL36" i="64"/>
  <c r="AV36" i="64"/>
  <c r="AN36" i="64"/>
  <c r="CN36" i="64"/>
  <c r="BP36" i="64"/>
  <c r="AS36" i="64"/>
  <c r="BZ36" i="64"/>
  <c r="BM36" i="64"/>
  <c r="AR36" i="64"/>
  <c r="CW36" i="64"/>
  <c r="BY36" i="64"/>
  <c r="AO36" i="64"/>
  <c r="D36" i="64"/>
  <c r="L30" i="23" s="1"/>
  <c r="O30" i="24" s="1"/>
  <c r="CV36" i="64"/>
  <c r="BX36" i="64"/>
  <c r="BJ36" i="64"/>
  <c r="AM36" i="64"/>
  <c r="CF36" i="64"/>
  <c r="BS36" i="64"/>
  <c r="BH36" i="64"/>
  <c r="AW36" i="64"/>
  <c r="AK36" i="64"/>
  <c r="CP36" i="64"/>
  <c r="BR36" i="64"/>
  <c r="AU36" i="64"/>
  <c r="AJ36" i="64"/>
  <c r="CO36" i="64"/>
  <c r="BQ36" i="64"/>
  <c r="AT36" i="64"/>
  <c r="AG36" i="64"/>
  <c r="AZ36" i="64"/>
  <c r="AL36" i="64"/>
  <c r="BU36" i="64"/>
  <c r="BI36" i="64"/>
  <c r="CS36" i="64"/>
  <c r="BB35" i="64"/>
  <c r="BA35" i="64"/>
  <c r="N35" i="64" s="1"/>
  <c r="A38" i="64"/>
  <c r="I32" i="23" s="1"/>
  <c r="K32" i="24" s="1"/>
  <c r="B37" i="64"/>
  <c r="J31" i="23" s="1"/>
  <c r="L31" i="24" s="1"/>
  <c r="CU36" i="63"/>
  <c r="CE36" i="63"/>
  <c r="BW36" i="63"/>
  <c r="BO36" i="63"/>
  <c r="BG36" i="63"/>
  <c r="AY36" i="63"/>
  <c r="AQ36" i="63"/>
  <c r="AI36" i="63"/>
  <c r="CT36" i="63"/>
  <c r="CD36" i="63"/>
  <c r="BV36" i="63"/>
  <c r="BN36" i="63"/>
  <c r="AX36" i="63"/>
  <c r="AP36" i="63"/>
  <c r="AH36" i="63"/>
  <c r="CR36" i="63"/>
  <c r="BT36" i="63"/>
  <c r="BL36" i="63"/>
  <c r="AV36" i="63"/>
  <c r="AN36" i="63"/>
  <c r="CO36" i="63"/>
  <c r="BQ36" i="63"/>
  <c r="AT36" i="63"/>
  <c r="AG36" i="63"/>
  <c r="CN36" i="63"/>
  <c r="BP36" i="63"/>
  <c r="AS36" i="63"/>
  <c r="CW36" i="63"/>
  <c r="BY36" i="63"/>
  <c r="BK36" i="63"/>
  <c r="AO36" i="63"/>
  <c r="D36" i="63"/>
  <c r="H30" i="23" s="1"/>
  <c r="J30" i="24" s="1"/>
  <c r="CV36" i="63"/>
  <c r="CH36" i="63"/>
  <c r="BX36" i="63"/>
  <c r="BJ36" i="63"/>
  <c r="AM36" i="63"/>
  <c r="BS36" i="63"/>
  <c r="BH36" i="63"/>
  <c r="AW36" i="63"/>
  <c r="AK36" i="63"/>
  <c r="CS36" i="63"/>
  <c r="BR36" i="63"/>
  <c r="AU36" i="63"/>
  <c r="CP36" i="63"/>
  <c r="BM36" i="63"/>
  <c r="AR36" i="63"/>
  <c r="AL36" i="63"/>
  <c r="AJ36" i="63"/>
  <c r="BZ36" i="63"/>
  <c r="AZ36" i="63"/>
  <c r="BU36" i="63"/>
  <c r="A38" i="63"/>
  <c r="E32" i="23" s="1"/>
  <c r="F32" i="24" s="1"/>
  <c r="B37" i="63"/>
  <c r="F31" i="23" s="1"/>
  <c r="G31" i="24" s="1"/>
  <c r="BB35" i="63"/>
  <c r="BA35" i="63"/>
  <c r="N35" i="63" s="1"/>
  <c r="AJ29" i="23" l="1"/>
  <c r="O29" i="25"/>
  <c r="AH30" i="23"/>
  <c r="L30" i="25" s="1"/>
  <c r="CK36" i="70"/>
  <c r="BR36" i="70"/>
  <c r="AS36" i="70"/>
  <c r="AY36" i="70"/>
  <c r="AX36" i="70"/>
  <c r="AV36" i="70"/>
  <c r="BS36" i="70"/>
  <c r="BL36" i="70"/>
  <c r="CL36" i="70"/>
  <c r="BJ36" i="70"/>
  <c r="AK36" i="70"/>
  <c r="AQ36" i="70"/>
  <c r="AM36" i="70"/>
  <c r="AH36" i="70"/>
  <c r="AR36" i="70"/>
  <c r="CJ36" i="70"/>
  <c r="BG36" i="70"/>
  <c r="CG36" i="70"/>
  <c r="AT36" i="70"/>
  <c r="D36" i="70"/>
  <c r="AI36" i="70"/>
  <c r="CV36" i="70"/>
  <c r="CS36" i="70"/>
  <c r="BP36" i="70"/>
  <c r="CD36" i="70"/>
  <c r="CM36" i="70"/>
  <c r="AL36" i="70"/>
  <c r="CU36" i="70"/>
  <c r="BM36" i="70"/>
  <c r="BV36" i="70"/>
  <c r="CF36" i="70"/>
  <c r="AP36" i="70"/>
  <c r="BI36" i="70"/>
  <c r="CQ36" i="70"/>
  <c r="CO36" i="70"/>
  <c r="CE36" i="70"/>
  <c r="AZ36" i="70"/>
  <c r="AW36" i="70"/>
  <c r="BT36" i="70"/>
  <c r="CN36" i="70"/>
  <c r="BY36" i="70"/>
  <c r="BW36" i="70"/>
  <c r="AN36" i="70"/>
  <c r="AJ36" i="70"/>
  <c r="AU36" i="70"/>
  <c r="BN36" i="70"/>
  <c r="BH36" i="70"/>
  <c r="CI36" i="70"/>
  <c r="BQ36" i="70"/>
  <c r="BO36" i="70"/>
  <c r="BX36" i="70"/>
  <c r="CT36" i="70"/>
  <c r="AG36" i="70"/>
  <c r="AO36" i="70"/>
  <c r="CP36" i="70"/>
  <c r="AG31" i="23"/>
  <c r="K31" i="25" s="1"/>
  <c r="B37" i="70"/>
  <c r="A38" i="70"/>
  <c r="BB35" i="70"/>
  <c r="BA35" i="70"/>
  <c r="N35" i="70" s="1"/>
  <c r="BP37" i="68"/>
  <c r="AU37" i="68"/>
  <c r="CR37" i="68"/>
  <c r="BZ37" i="68"/>
  <c r="CI37" i="68"/>
  <c r="AX37" i="68"/>
  <c r="BY37" i="68"/>
  <c r="BS37" i="68"/>
  <c r="AK37" i="68"/>
  <c r="AL37" i="68"/>
  <c r="BI37" i="68"/>
  <c r="CK37" i="68"/>
  <c r="BX37" i="68"/>
  <c r="CD37" i="68"/>
  <c r="CU37" i="68"/>
  <c r="BJ37" i="68"/>
  <c r="CJ37" i="68"/>
  <c r="CN37" i="68"/>
  <c r="AG37" i="68"/>
  <c r="CF37" i="68"/>
  <c r="BN37" i="68"/>
  <c r="CW37" i="68"/>
  <c r="CT37" i="68"/>
  <c r="BO37" i="68"/>
  <c r="AN37" i="68"/>
  <c r="BM37" i="68"/>
  <c r="AT37" i="68"/>
  <c r="BK37" i="68"/>
  <c r="BR37" i="68"/>
  <c r="CP37" i="68"/>
  <c r="BH37" i="68"/>
  <c r="Z31" i="23"/>
  <c r="B31" i="25" s="1"/>
  <c r="AO37" i="68"/>
  <c r="AV37" i="68"/>
  <c r="CV37" i="68"/>
  <c r="D37" i="68"/>
  <c r="AB31" i="23" s="1"/>
  <c r="E31" i="25" s="1"/>
  <c r="BT37" i="68"/>
  <c r="CH37" i="68"/>
  <c r="BV37" i="68"/>
  <c r="AQ37" i="68"/>
  <c r="AW37" i="68"/>
  <c r="AY37" i="68"/>
  <c r="AH37" i="68"/>
  <c r="AS37" i="68"/>
  <c r="AR37" i="68"/>
  <c r="BW37" i="68"/>
  <c r="BQ37" i="68"/>
  <c r="CS37" i="68"/>
  <c r="BL37" i="68"/>
  <c r="BU37" i="68"/>
  <c r="BG37" i="68"/>
  <c r="AJ37" i="68"/>
  <c r="AP37" i="68"/>
  <c r="CE37" i="68"/>
  <c r="AI37" i="68"/>
  <c r="CQ37" i="68"/>
  <c r="CO37" i="68"/>
  <c r="CM37" i="68"/>
  <c r="AM37" i="68"/>
  <c r="AZ37" i="68"/>
  <c r="J30" i="25"/>
  <c r="AF30" i="23"/>
  <c r="BA35" i="67"/>
  <c r="N35" i="67" s="1"/>
  <c r="BB35" i="67"/>
  <c r="V30" i="23"/>
  <c r="AA30" i="24" s="1"/>
  <c r="BO36" i="67"/>
  <c r="BN36" i="67"/>
  <c r="AN36" i="67"/>
  <c r="BZ36" i="67"/>
  <c r="AZ36" i="67"/>
  <c r="CW36" i="67"/>
  <c r="BK36" i="67"/>
  <c r="CI36" i="67"/>
  <c r="BG36" i="67"/>
  <c r="AX36" i="67"/>
  <c r="CO36" i="67"/>
  <c r="BM36" i="67"/>
  <c r="CH36" i="67"/>
  <c r="AL36" i="67"/>
  <c r="AU36" i="67"/>
  <c r="AQ36" i="67"/>
  <c r="BJ36" i="67"/>
  <c r="AG36" i="67"/>
  <c r="CN36" i="67"/>
  <c r="CL36" i="67"/>
  <c r="AY36" i="67"/>
  <c r="AP36" i="67"/>
  <c r="BQ36" i="67"/>
  <c r="AR36" i="67"/>
  <c r="BX36" i="67"/>
  <c r="CF36" i="67"/>
  <c r="AJ36" i="67"/>
  <c r="AH36" i="67"/>
  <c r="BS36" i="67"/>
  <c r="AM36" i="67"/>
  <c r="CM36" i="67"/>
  <c r="AT36" i="67"/>
  <c r="CR36" i="67"/>
  <c r="BH36" i="67"/>
  <c r="CT36" i="67"/>
  <c r="CQ36" i="67"/>
  <c r="AI36" i="67"/>
  <c r="BT36" i="67"/>
  <c r="AW36" i="67"/>
  <c r="CG36" i="67"/>
  <c r="CS36" i="67"/>
  <c r="CJ36" i="67"/>
  <c r="CE36" i="67"/>
  <c r="CD36" i="67"/>
  <c r="BL36" i="67"/>
  <c r="BP36" i="67"/>
  <c r="AO36" i="67"/>
  <c r="BU36" i="67"/>
  <c r="AK36" i="67"/>
  <c r="CV36" i="67"/>
  <c r="BY36" i="67"/>
  <c r="CK36" i="67"/>
  <c r="BW36" i="67"/>
  <c r="BV36" i="67"/>
  <c r="AV36" i="67"/>
  <c r="AS36" i="67"/>
  <c r="D36" i="67"/>
  <c r="X30" i="23" s="1"/>
  <c r="AD30" i="24" s="1"/>
  <c r="BI36" i="67"/>
  <c r="CP36" i="67"/>
  <c r="BR36" i="67"/>
  <c r="CU36" i="67"/>
  <c r="AV30" i="23"/>
  <c r="AD30" i="25"/>
  <c r="U31" i="23"/>
  <c r="Z31" i="24" s="1"/>
  <c r="B37" i="67"/>
  <c r="A38" i="67"/>
  <c r="AR29" i="23"/>
  <c r="Y29" i="25"/>
  <c r="AN30" i="23"/>
  <c r="T30" i="25"/>
  <c r="CA35" i="66"/>
  <c r="O35" i="66" s="1"/>
  <c r="R30" i="23"/>
  <c r="V30" i="24" s="1"/>
  <c r="AI36" i="66"/>
  <c r="CR36" i="66"/>
  <c r="BZ36" i="66"/>
  <c r="CS36" i="66"/>
  <c r="AW36" i="66"/>
  <c r="BK36" i="66"/>
  <c r="CI36" i="66"/>
  <c r="CU36" i="66"/>
  <c r="CT36" i="66"/>
  <c r="BT36" i="66"/>
  <c r="BM36" i="66"/>
  <c r="BU36" i="66"/>
  <c r="AK36" i="66"/>
  <c r="AO36" i="66"/>
  <c r="AG36" i="66"/>
  <c r="CK36" i="66"/>
  <c r="CE36" i="66"/>
  <c r="CD36" i="66"/>
  <c r="BL36" i="66"/>
  <c r="AR36" i="66"/>
  <c r="BI36" i="66"/>
  <c r="BR36" i="66"/>
  <c r="CO36" i="66"/>
  <c r="AJ36" i="66"/>
  <c r="CJ36" i="66"/>
  <c r="BW36" i="66"/>
  <c r="BV36" i="66"/>
  <c r="AV36" i="66"/>
  <c r="CV36" i="66"/>
  <c r="AZ36" i="66"/>
  <c r="AU36" i="66"/>
  <c r="CL36" i="66"/>
  <c r="BO36" i="66"/>
  <c r="BN36" i="66"/>
  <c r="AN36" i="66"/>
  <c r="CH36" i="66"/>
  <c r="AL36" i="66"/>
  <c r="CW36" i="66"/>
  <c r="CQ36" i="66"/>
  <c r="BG36" i="66"/>
  <c r="AX36" i="66"/>
  <c r="CN36" i="66"/>
  <c r="BX36" i="66"/>
  <c r="CF36" i="66"/>
  <c r="BQ36" i="66"/>
  <c r="D36" i="66"/>
  <c r="T30" i="23" s="1"/>
  <c r="Y30" i="24" s="1"/>
  <c r="AM36" i="66"/>
  <c r="CM36" i="66"/>
  <c r="AY36" i="66"/>
  <c r="AP36" i="66"/>
  <c r="BP36" i="66"/>
  <c r="BJ36" i="66"/>
  <c r="BS36" i="66"/>
  <c r="AT36" i="66"/>
  <c r="BY36" i="66"/>
  <c r="BH36" i="66"/>
  <c r="CG36" i="66"/>
  <c r="AQ36" i="66"/>
  <c r="AH36" i="66"/>
  <c r="AS36" i="66"/>
  <c r="CP36" i="66"/>
  <c r="Q31" i="23"/>
  <c r="U31" i="24" s="1"/>
  <c r="B37" i="66"/>
  <c r="A38" i="66"/>
  <c r="BB35" i="66"/>
  <c r="BA35" i="66"/>
  <c r="N35" i="66" s="1"/>
  <c r="B38" i="65"/>
  <c r="N32" i="23" s="1"/>
  <c r="Q32" i="24" s="1"/>
  <c r="M32" i="23"/>
  <c r="P32" i="24" s="1"/>
  <c r="BA36" i="68"/>
  <c r="BB36" i="68"/>
  <c r="CA36" i="68"/>
  <c r="CK37" i="73"/>
  <c r="CL37" i="73"/>
  <c r="CM37" i="73"/>
  <c r="CG37" i="73"/>
  <c r="CI37" i="73"/>
  <c r="CQ37" i="73"/>
  <c r="CJ37" i="73"/>
  <c r="CQ36" i="72"/>
  <c r="CI36" i="72"/>
  <c r="CJ36" i="72"/>
  <c r="CK36" i="72"/>
  <c r="CL36" i="72"/>
  <c r="CG36" i="72"/>
  <c r="CM36" i="72"/>
  <c r="CI37" i="69"/>
  <c r="CG37" i="69"/>
  <c r="CQ37" i="69"/>
  <c r="CJ37" i="69"/>
  <c r="CK37" i="69"/>
  <c r="CL37" i="69"/>
  <c r="CM37" i="69"/>
  <c r="CI37" i="71"/>
  <c r="CQ37" i="71"/>
  <c r="CL37" i="71"/>
  <c r="CM37" i="71"/>
  <c r="CG37" i="71"/>
  <c r="CJ37" i="71"/>
  <c r="CK37" i="71"/>
  <c r="CI37" i="65"/>
  <c r="CG37" i="65"/>
  <c r="CJ37" i="65"/>
  <c r="CQ37" i="65"/>
  <c r="CL37" i="65"/>
  <c r="CM37" i="65"/>
  <c r="CI38" i="65"/>
  <c r="CJ38" i="65"/>
  <c r="CK38" i="65"/>
  <c r="CM38" i="65"/>
  <c r="CQ38" i="65"/>
  <c r="CI37" i="64"/>
  <c r="CJ37" i="64"/>
  <c r="CK37" i="64"/>
  <c r="CL37" i="64"/>
  <c r="CG37" i="64"/>
  <c r="CM37" i="64"/>
  <c r="CQ37" i="64"/>
  <c r="CI37" i="63"/>
  <c r="CL37" i="63"/>
  <c r="CJ37" i="63"/>
  <c r="CK37" i="63"/>
  <c r="CM37" i="63"/>
  <c r="CQ37" i="63"/>
  <c r="CX36" i="73"/>
  <c r="P36" i="73" s="1"/>
  <c r="G77" i="65"/>
  <c r="G81" i="65"/>
  <c r="G66" i="65"/>
  <c r="G72" i="65"/>
  <c r="G70" i="65"/>
  <c r="G75" i="65"/>
  <c r="G85" i="65"/>
  <c r="G69" i="65"/>
  <c r="G78" i="65"/>
  <c r="G67" i="65"/>
  <c r="G84" i="65"/>
  <c r="G71" i="65"/>
  <c r="G63" i="65"/>
  <c r="G83" i="65"/>
  <c r="G82" i="65"/>
  <c r="G79" i="65"/>
  <c r="G64" i="65"/>
  <c r="G76" i="65"/>
  <c r="G65" i="65"/>
  <c r="G73" i="65"/>
  <c r="Q35" i="73"/>
  <c r="CA36" i="73"/>
  <c r="O36" i="73" s="1"/>
  <c r="CP37" i="73"/>
  <c r="CH37" i="73"/>
  <c r="BZ37" i="73"/>
  <c r="BR37" i="73"/>
  <c r="BJ37" i="73"/>
  <c r="AT37" i="73"/>
  <c r="AL37" i="73"/>
  <c r="CW37" i="73"/>
  <c r="CO37" i="73"/>
  <c r="BY37" i="73"/>
  <c r="BQ37" i="73"/>
  <c r="BI37" i="73"/>
  <c r="AS37" i="73"/>
  <c r="AK37" i="73"/>
  <c r="D37" i="73"/>
  <c r="CU37" i="73"/>
  <c r="CE37" i="73"/>
  <c r="BW37" i="73"/>
  <c r="BO37" i="73"/>
  <c r="BG37" i="73"/>
  <c r="AY37" i="73"/>
  <c r="AQ37" i="73"/>
  <c r="AI37" i="73"/>
  <c r="CR37" i="73"/>
  <c r="CD37" i="73"/>
  <c r="BS37" i="73"/>
  <c r="AR37" i="73"/>
  <c r="BP37" i="73"/>
  <c r="AP37" i="73"/>
  <c r="CN37" i="73"/>
  <c r="BN37" i="73"/>
  <c r="AO37" i="73"/>
  <c r="BM37" i="73"/>
  <c r="AZ37" i="73"/>
  <c r="AN37" i="73"/>
  <c r="CV37" i="73"/>
  <c r="BV37" i="73"/>
  <c r="BK37" i="73"/>
  <c r="AW37" i="73"/>
  <c r="AJ37" i="73"/>
  <c r="CT37" i="73"/>
  <c r="BU37" i="73"/>
  <c r="BH37" i="73"/>
  <c r="AV37" i="73"/>
  <c r="AH37" i="73"/>
  <c r="CS37" i="73"/>
  <c r="CF37" i="73"/>
  <c r="BT37" i="73"/>
  <c r="AU37" i="73"/>
  <c r="AG37" i="73"/>
  <c r="AX37" i="73"/>
  <c r="AM37" i="73"/>
  <c r="BX37" i="73"/>
  <c r="BL37" i="73"/>
  <c r="A39" i="73"/>
  <c r="B38" i="73"/>
  <c r="AT32" i="23" s="1"/>
  <c r="AA32" i="25" s="1"/>
  <c r="BB36" i="73"/>
  <c r="BA36" i="73"/>
  <c r="N36" i="73" s="1"/>
  <c r="BB35" i="72"/>
  <c r="BA35" i="72"/>
  <c r="N35" i="72" s="1"/>
  <c r="CA35" i="72"/>
  <c r="O35" i="72" s="1"/>
  <c r="CP36" i="72"/>
  <c r="BZ36" i="72"/>
  <c r="BR36" i="72"/>
  <c r="BJ36" i="72"/>
  <c r="AT36" i="72"/>
  <c r="AL36" i="72"/>
  <c r="CW36" i="72"/>
  <c r="CO36" i="72"/>
  <c r="BY36" i="72"/>
  <c r="BQ36" i="72"/>
  <c r="BI36" i="72"/>
  <c r="AS36" i="72"/>
  <c r="AK36" i="72"/>
  <c r="D36" i="72"/>
  <c r="CU36" i="72"/>
  <c r="CE36" i="72"/>
  <c r="BW36" i="72"/>
  <c r="BO36" i="72"/>
  <c r="BG36" i="72"/>
  <c r="AY36" i="72"/>
  <c r="AQ36" i="72"/>
  <c r="AI36" i="72"/>
  <c r="CS36" i="72"/>
  <c r="CF36" i="72"/>
  <c r="BT36" i="72"/>
  <c r="AU36" i="72"/>
  <c r="AG36" i="72"/>
  <c r="CR36" i="72"/>
  <c r="CD36" i="72"/>
  <c r="BS36" i="72"/>
  <c r="AR36" i="72"/>
  <c r="BP36" i="72"/>
  <c r="AP36" i="72"/>
  <c r="CN36" i="72"/>
  <c r="BN36" i="72"/>
  <c r="AO36" i="72"/>
  <c r="BM36" i="72"/>
  <c r="AZ36" i="72"/>
  <c r="AN36" i="72"/>
  <c r="BX36" i="72"/>
  <c r="BL36" i="72"/>
  <c r="AX36" i="72"/>
  <c r="AM36" i="72"/>
  <c r="CV36" i="72"/>
  <c r="BV36" i="72"/>
  <c r="BK36" i="72"/>
  <c r="AW36" i="72"/>
  <c r="AJ36" i="72"/>
  <c r="CT36" i="72"/>
  <c r="BU36" i="72"/>
  <c r="BH36" i="72"/>
  <c r="AV36" i="72"/>
  <c r="AH36" i="72"/>
  <c r="A38" i="72"/>
  <c r="B37" i="72"/>
  <c r="AP31" i="23" s="1"/>
  <c r="V31" i="25" s="1"/>
  <c r="BB36" i="71"/>
  <c r="BA36" i="71"/>
  <c r="N36" i="71" s="1"/>
  <c r="CA36" i="71"/>
  <c r="O36" i="71" s="1"/>
  <c r="CH37" i="71"/>
  <c r="BZ37" i="71"/>
  <c r="BR37" i="71"/>
  <c r="BJ37" i="71"/>
  <c r="AT37" i="71"/>
  <c r="AL37" i="71"/>
  <c r="CW37" i="71"/>
  <c r="CO37" i="71"/>
  <c r="BY37" i="71"/>
  <c r="BQ37" i="71"/>
  <c r="BI37" i="71"/>
  <c r="AS37" i="71"/>
  <c r="AK37" i="71"/>
  <c r="D37" i="71"/>
  <c r="CU37" i="71"/>
  <c r="CE37" i="71"/>
  <c r="BW37" i="71"/>
  <c r="BO37" i="71"/>
  <c r="BG37" i="71"/>
  <c r="AY37" i="71"/>
  <c r="AQ37" i="71"/>
  <c r="AI37" i="71"/>
  <c r="CS37" i="71"/>
  <c r="BU37" i="71"/>
  <c r="BM37" i="71"/>
  <c r="AW37" i="71"/>
  <c r="AO37" i="71"/>
  <c r="AG37" i="71"/>
  <c r="CV37" i="71"/>
  <c r="BS37" i="71"/>
  <c r="AN37" i="71"/>
  <c r="CT37" i="71"/>
  <c r="CD37" i="71"/>
  <c r="BP37" i="71"/>
  <c r="AM37" i="71"/>
  <c r="CR37" i="71"/>
  <c r="BN37" i="71"/>
  <c r="AZ37" i="71"/>
  <c r="AJ37" i="71"/>
  <c r="BL37" i="71"/>
  <c r="AX37" i="71"/>
  <c r="AH37" i="71"/>
  <c r="CN37" i="71"/>
  <c r="BK37" i="71"/>
  <c r="AV37" i="71"/>
  <c r="BX37" i="71"/>
  <c r="BH37" i="71"/>
  <c r="AU37" i="71"/>
  <c r="BV37" i="71"/>
  <c r="AR37" i="71"/>
  <c r="AP37" i="71"/>
  <c r="BT37" i="71"/>
  <c r="A39" i="71"/>
  <c r="B38" i="71"/>
  <c r="CH37" i="69"/>
  <c r="BZ37" i="69"/>
  <c r="BR37" i="69"/>
  <c r="BJ37" i="69"/>
  <c r="AT37" i="69"/>
  <c r="AL37" i="69"/>
  <c r="CW37" i="69"/>
  <c r="CO37" i="69"/>
  <c r="BY37" i="69"/>
  <c r="BQ37" i="69"/>
  <c r="AS37" i="69"/>
  <c r="AK37" i="69"/>
  <c r="D37" i="69"/>
  <c r="CU37" i="69"/>
  <c r="CE37" i="69"/>
  <c r="BW37" i="69"/>
  <c r="BO37" i="69"/>
  <c r="BG37" i="69"/>
  <c r="AY37" i="69"/>
  <c r="AQ37" i="69"/>
  <c r="AI37" i="69"/>
  <c r="CT37" i="69"/>
  <c r="BU37" i="69"/>
  <c r="BH37" i="69"/>
  <c r="AV37" i="69"/>
  <c r="AH37" i="69"/>
  <c r="CS37" i="69"/>
  <c r="BT37" i="69"/>
  <c r="AU37" i="69"/>
  <c r="AG37" i="69"/>
  <c r="BP37" i="69"/>
  <c r="AP37" i="69"/>
  <c r="CN37" i="69"/>
  <c r="AO37" i="69"/>
  <c r="BM37" i="69"/>
  <c r="AZ37" i="69"/>
  <c r="AN37" i="69"/>
  <c r="BX37" i="69"/>
  <c r="BL37" i="69"/>
  <c r="AX37" i="69"/>
  <c r="AM37" i="69"/>
  <c r="CD37" i="69"/>
  <c r="AW37" i="69"/>
  <c r="BV37" i="69"/>
  <c r="AR37" i="69"/>
  <c r="AJ37" i="69"/>
  <c r="CV37" i="69"/>
  <c r="BK37" i="69"/>
  <c r="CR37" i="69"/>
  <c r="A39" i="69"/>
  <c r="B38" i="69"/>
  <c r="BB36" i="69"/>
  <c r="BA36" i="69"/>
  <c r="N36" i="69" s="1"/>
  <c r="N36" i="68"/>
  <c r="CV38" i="65"/>
  <c r="CN38" i="65"/>
  <c r="BX38" i="65"/>
  <c r="BP38" i="65"/>
  <c r="BH38" i="65"/>
  <c r="AZ38" i="65"/>
  <c r="AR38" i="65"/>
  <c r="AJ38" i="65"/>
  <c r="CU38" i="65"/>
  <c r="CE38" i="65"/>
  <c r="BW38" i="65"/>
  <c r="BO38" i="65"/>
  <c r="BG38" i="65"/>
  <c r="AY38" i="65"/>
  <c r="AQ38" i="65"/>
  <c r="AI38" i="65"/>
  <c r="CS38" i="65"/>
  <c r="BU38" i="65"/>
  <c r="BM38" i="65"/>
  <c r="AW38" i="65"/>
  <c r="AO38" i="65"/>
  <c r="AG38" i="65"/>
  <c r="CT38" i="65"/>
  <c r="CH38" i="65"/>
  <c r="BV38" i="65"/>
  <c r="BJ38" i="65"/>
  <c r="AX38" i="65"/>
  <c r="AL38" i="65"/>
  <c r="CR38" i="65"/>
  <c r="BT38" i="65"/>
  <c r="AV38" i="65"/>
  <c r="AK38" i="65"/>
  <c r="AP38" i="65"/>
  <c r="D38" i="65"/>
  <c r="P32" i="23" s="1"/>
  <c r="T32" i="24" s="1"/>
  <c r="BZ38" i="65"/>
  <c r="BL38" i="65"/>
  <c r="AN38" i="65"/>
  <c r="BK38" i="65"/>
  <c r="AS38" i="65"/>
  <c r="CD38" i="65"/>
  <c r="AM38" i="65"/>
  <c r="AH38" i="65"/>
  <c r="CW38" i="65"/>
  <c r="BY38" i="65"/>
  <c r="BS38" i="65"/>
  <c r="CP38" i="65"/>
  <c r="BR38" i="65"/>
  <c r="AU38" i="65"/>
  <c r="CO38" i="65"/>
  <c r="BQ38" i="65"/>
  <c r="AT38" i="65"/>
  <c r="BB36" i="65"/>
  <c r="BA36" i="65"/>
  <c r="N36" i="65" s="1"/>
  <c r="CS37" i="65"/>
  <c r="BU37" i="65"/>
  <c r="AW37" i="65"/>
  <c r="AO37" i="65"/>
  <c r="AG37" i="65"/>
  <c r="CR37" i="65"/>
  <c r="BT37" i="65"/>
  <c r="BL37" i="65"/>
  <c r="AV37" i="65"/>
  <c r="AN37" i="65"/>
  <c r="CP37" i="65"/>
  <c r="CH37" i="65"/>
  <c r="BZ37" i="65"/>
  <c r="BR37" i="65"/>
  <c r="BJ37" i="65"/>
  <c r="AT37" i="65"/>
  <c r="AL37" i="65"/>
  <c r="CW37" i="65"/>
  <c r="BO37" i="65"/>
  <c r="AR37" i="65"/>
  <c r="D37" i="65"/>
  <c r="P31" i="23" s="1"/>
  <c r="T31" i="24" s="1"/>
  <c r="CV37" i="65"/>
  <c r="BY37" i="65"/>
  <c r="BN37" i="65"/>
  <c r="AQ37" i="65"/>
  <c r="CO37" i="65"/>
  <c r="CD37" i="65"/>
  <c r="BS37" i="65"/>
  <c r="BG37" i="65"/>
  <c r="AX37" i="65"/>
  <c r="AJ37" i="65"/>
  <c r="CN37" i="65"/>
  <c r="BQ37" i="65"/>
  <c r="AU37" i="65"/>
  <c r="AI37" i="65"/>
  <c r="BW37" i="65"/>
  <c r="AK37" i="65"/>
  <c r="BV37" i="65"/>
  <c r="AH37" i="65"/>
  <c r="BP37" i="65"/>
  <c r="BK37" i="65"/>
  <c r="AZ37" i="65"/>
  <c r="BI37" i="65"/>
  <c r="AY37" i="65"/>
  <c r="AS37" i="65"/>
  <c r="CU37" i="65"/>
  <c r="AP37" i="65"/>
  <c r="CT37" i="65"/>
  <c r="BX37" i="65"/>
  <c r="AM37" i="65"/>
  <c r="A39" i="64"/>
  <c r="B38" i="64"/>
  <c r="J32" i="23" s="1"/>
  <c r="L32" i="24" s="1"/>
  <c r="CP37" i="64"/>
  <c r="CH37" i="64"/>
  <c r="BZ37" i="64"/>
  <c r="BR37" i="64"/>
  <c r="BJ37" i="64"/>
  <c r="AT37" i="64"/>
  <c r="AL37" i="64"/>
  <c r="CW37" i="64"/>
  <c r="CO37" i="64"/>
  <c r="BY37" i="64"/>
  <c r="BQ37" i="64"/>
  <c r="BI37" i="64"/>
  <c r="AS37" i="64"/>
  <c r="AK37" i="64"/>
  <c r="D37" i="64"/>
  <c r="L31" i="23" s="1"/>
  <c r="O31" i="24" s="1"/>
  <c r="CU37" i="64"/>
  <c r="CE37" i="64"/>
  <c r="BW37" i="64"/>
  <c r="BO37" i="64"/>
  <c r="BG37" i="64"/>
  <c r="AY37" i="64"/>
  <c r="AQ37" i="64"/>
  <c r="AI37" i="64"/>
  <c r="BM37" i="64"/>
  <c r="AZ37" i="64"/>
  <c r="AN37" i="64"/>
  <c r="BX37" i="64"/>
  <c r="BL37" i="64"/>
  <c r="AX37" i="64"/>
  <c r="AM37" i="64"/>
  <c r="CV37" i="64"/>
  <c r="BV37" i="64"/>
  <c r="BK37" i="64"/>
  <c r="AW37" i="64"/>
  <c r="AJ37" i="64"/>
  <c r="CT37" i="64"/>
  <c r="BU37" i="64"/>
  <c r="BH37" i="64"/>
  <c r="AV37" i="64"/>
  <c r="AH37" i="64"/>
  <c r="CR37" i="64"/>
  <c r="CD37" i="64"/>
  <c r="BS37" i="64"/>
  <c r="AR37" i="64"/>
  <c r="BP37" i="64"/>
  <c r="AP37" i="64"/>
  <c r="CN37" i="64"/>
  <c r="BN37" i="64"/>
  <c r="AO37" i="64"/>
  <c r="CS37" i="64"/>
  <c r="CF37" i="64"/>
  <c r="AU37" i="64"/>
  <c r="AG37" i="64"/>
  <c r="BT37" i="64"/>
  <c r="BB36" i="64"/>
  <c r="BA36" i="64"/>
  <c r="N36" i="64" s="1"/>
  <c r="CP37" i="63"/>
  <c r="BZ37" i="63"/>
  <c r="BR37" i="63"/>
  <c r="AT37" i="63"/>
  <c r="AL37" i="63"/>
  <c r="CW37" i="63"/>
  <c r="CO37" i="63"/>
  <c r="BY37" i="63"/>
  <c r="BQ37" i="63"/>
  <c r="BI37" i="63"/>
  <c r="AS37" i="63"/>
  <c r="AK37" i="63"/>
  <c r="D37" i="63"/>
  <c r="H31" i="23" s="1"/>
  <c r="J31" i="24" s="1"/>
  <c r="CU37" i="63"/>
  <c r="CE37" i="63"/>
  <c r="BW37" i="63"/>
  <c r="BO37" i="63"/>
  <c r="BG37" i="63"/>
  <c r="AY37" i="63"/>
  <c r="AQ37" i="63"/>
  <c r="AI37" i="63"/>
  <c r="CN37" i="63"/>
  <c r="BN37" i="63"/>
  <c r="AO37" i="63"/>
  <c r="BM37" i="63"/>
  <c r="AZ37" i="63"/>
  <c r="AN37" i="63"/>
  <c r="CV37" i="63"/>
  <c r="BV37" i="63"/>
  <c r="BK37" i="63"/>
  <c r="AW37" i="63"/>
  <c r="AJ37" i="63"/>
  <c r="CT37" i="63"/>
  <c r="BU37" i="63"/>
  <c r="BH37" i="63"/>
  <c r="AV37" i="63"/>
  <c r="AH37" i="63"/>
  <c r="CR37" i="63"/>
  <c r="CD37" i="63"/>
  <c r="BS37" i="63"/>
  <c r="AR37" i="63"/>
  <c r="BX37" i="63"/>
  <c r="AX37" i="63"/>
  <c r="BT37" i="63"/>
  <c r="AU37" i="63"/>
  <c r="CS37" i="63"/>
  <c r="BP37" i="63"/>
  <c r="AP37" i="63"/>
  <c r="BL37" i="63"/>
  <c r="AM37" i="63"/>
  <c r="AG37" i="63"/>
  <c r="CF37" i="63"/>
  <c r="B38" i="63"/>
  <c r="F32" i="23" s="1"/>
  <c r="G32" i="24" s="1"/>
  <c r="BB36" i="63"/>
  <c r="BA36" i="63"/>
  <c r="N36" i="63" s="1"/>
  <c r="B39" i="73" l="1"/>
  <c r="AT33" i="23" s="1"/>
  <c r="AA33" i="25" s="1"/>
  <c r="AS33" i="23"/>
  <c r="Z33" i="25" s="1"/>
  <c r="B38" i="72"/>
  <c r="AP32" i="23" s="1"/>
  <c r="V32" i="25" s="1"/>
  <c r="AO32" i="23"/>
  <c r="U32" i="25" s="1"/>
  <c r="B39" i="71"/>
  <c r="AK33" i="23"/>
  <c r="P33" i="25" s="1"/>
  <c r="O30" i="25"/>
  <c r="AJ30" i="23"/>
  <c r="B38" i="70"/>
  <c r="AG32" i="23"/>
  <c r="K32" i="25" s="1"/>
  <c r="AH31" i="23"/>
  <c r="L31" i="25" s="1"/>
  <c r="G70" i="70"/>
  <c r="G77" i="70"/>
  <c r="G84" i="70"/>
  <c r="BO37" i="70"/>
  <c r="AW37" i="70"/>
  <c r="CP37" i="70"/>
  <c r="CF37" i="70"/>
  <c r="BK37" i="70"/>
  <c r="AM37" i="70"/>
  <c r="AX37" i="70"/>
  <c r="CI37" i="70"/>
  <c r="G64" i="70"/>
  <c r="G72" i="70"/>
  <c r="G85" i="70"/>
  <c r="BG37" i="70"/>
  <c r="AO37" i="70"/>
  <c r="CH37" i="70"/>
  <c r="BX37" i="70"/>
  <c r="AU37" i="70"/>
  <c r="BV37" i="70"/>
  <c r="CQ37" i="70"/>
  <c r="G73" i="70"/>
  <c r="G67" i="70"/>
  <c r="G81" i="70"/>
  <c r="AY37" i="70"/>
  <c r="AG37" i="70"/>
  <c r="BZ37" i="70"/>
  <c r="BP37" i="70"/>
  <c r="CT37" i="70"/>
  <c r="AK37" i="70"/>
  <c r="CK37" i="70"/>
  <c r="G76" i="70"/>
  <c r="G71" i="70"/>
  <c r="G79" i="70"/>
  <c r="AQ37" i="70"/>
  <c r="CR37" i="70"/>
  <c r="BR37" i="70"/>
  <c r="BH37" i="70"/>
  <c r="BI37" i="70"/>
  <c r="BS37" i="70"/>
  <c r="CL37" i="70"/>
  <c r="G63" i="70"/>
  <c r="G75" i="70"/>
  <c r="AI37" i="70"/>
  <c r="BT37" i="70"/>
  <c r="BJ37" i="70"/>
  <c r="AZ37" i="70"/>
  <c r="AS37" i="70"/>
  <c r="AH37" i="70"/>
  <c r="CJ37" i="70"/>
  <c r="G82" i="70"/>
  <c r="CM37" i="70"/>
  <c r="G83" i="70"/>
  <c r="G69" i="70"/>
  <c r="CU37" i="70"/>
  <c r="CS37" i="70"/>
  <c r="BL37" i="70"/>
  <c r="AT37" i="70"/>
  <c r="AR37" i="70"/>
  <c r="AP37" i="70"/>
  <c r="BQ37" i="70"/>
  <c r="G78" i="70"/>
  <c r="CG37" i="70"/>
  <c r="G65" i="70"/>
  <c r="G66" i="70"/>
  <c r="CE37" i="70"/>
  <c r="BU37" i="70"/>
  <c r="AV37" i="70"/>
  <c r="AL37" i="70"/>
  <c r="AJ37" i="70"/>
  <c r="CO37" i="70"/>
  <c r="D37" i="70"/>
  <c r="BW37" i="70"/>
  <c r="BM37" i="70"/>
  <c r="AN37" i="70"/>
  <c r="CV37" i="70"/>
  <c r="CW37" i="70"/>
  <c r="BY37" i="70"/>
  <c r="BN37" i="70"/>
  <c r="BB36" i="70"/>
  <c r="BA36" i="70"/>
  <c r="N36" i="70" s="1"/>
  <c r="B39" i="69"/>
  <c r="AC33" i="23"/>
  <c r="F33" i="25" s="1"/>
  <c r="CA37" i="68"/>
  <c r="O37" i="68" s="1"/>
  <c r="BB37" i="68"/>
  <c r="BA37" i="68"/>
  <c r="N37" i="68" s="1"/>
  <c r="N38" i="68" s="1"/>
  <c r="I45" i="68" s="1"/>
  <c r="J31" i="25"/>
  <c r="AF31" i="23"/>
  <c r="AD31" i="25"/>
  <c r="AV31" i="23"/>
  <c r="CX36" i="67"/>
  <c r="P36" i="67" s="1"/>
  <c r="BR38" i="69"/>
  <c r="AD32" i="23"/>
  <c r="G32" i="25" s="1"/>
  <c r="BR39" i="69"/>
  <c r="AD33" i="23"/>
  <c r="G33" i="25" s="1"/>
  <c r="BR38" i="71"/>
  <c r="AL32" i="23"/>
  <c r="Q32" i="25" s="1"/>
  <c r="AN31" i="23"/>
  <c r="T31" i="25"/>
  <c r="U32" i="23"/>
  <c r="Z32" i="24" s="1"/>
  <c r="A39" i="67"/>
  <c r="B38" i="67"/>
  <c r="BA36" i="67"/>
  <c r="N36" i="67" s="1"/>
  <c r="BB36" i="67"/>
  <c r="BR39" i="71"/>
  <c r="AL33" i="23"/>
  <c r="Q33" i="25" s="1"/>
  <c r="V31" i="23"/>
  <c r="AA31" i="24" s="1"/>
  <c r="CJ37" i="67"/>
  <c r="BR37" i="67"/>
  <c r="BK37" i="67"/>
  <c r="CS37" i="67"/>
  <c r="BJ37" i="67"/>
  <c r="AN37" i="67"/>
  <c r="AP37" i="67"/>
  <c r="BT37" i="67"/>
  <c r="D37" i="67"/>
  <c r="X31" i="23" s="1"/>
  <c r="AD31" i="24" s="1"/>
  <c r="CT37" i="67"/>
  <c r="CQ37" i="67"/>
  <c r="AY37" i="67"/>
  <c r="BL37" i="67"/>
  <c r="CK37" i="67"/>
  <c r="AT37" i="67"/>
  <c r="AK37" i="67"/>
  <c r="AQ37" i="67"/>
  <c r="BX37" i="67"/>
  <c r="AU37" i="67"/>
  <c r="CM37" i="67"/>
  <c r="AI37" i="67"/>
  <c r="CW37" i="67"/>
  <c r="CU37" i="67"/>
  <c r="CN37" i="67"/>
  <c r="AX37" i="67"/>
  <c r="BU37" i="67"/>
  <c r="AG37" i="67"/>
  <c r="CE37" i="67"/>
  <c r="BH37" i="67"/>
  <c r="CP37" i="67"/>
  <c r="CO37" i="67"/>
  <c r="BN37" i="67"/>
  <c r="AM37" i="67"/>
  <c r="CR37" i="67"/>
  <c r="CG37" i="67"/>
  <c r="CH37" i="67"/>
  <c r="BY37" i="67"/>
  <c r="BW37" i="67"/>
  <c r="AO37" i="67"/>
  <c r="CV37" i="67"/>
  <c r="AV37" i="67"/>
  <c r="BS37" i="67"/>
  <c r="BQ37" i="67"/>
  <c r="BM37" i="67"/>
  <c r="AH37" i="67"/>
  <c r="BI37" i="67"/>
  <c r="AZ37" i="67"/>
  <c r="BP37" i="67"/>
  <c r="AS37" i="67"/>
  <c r="AW37" i="67"/>
  <c r="AJ37" i="67"/>
  <c r="AL37" i="67"/>
  <c r="CL37" i="67"/>
  <c r="BZ37" i="67"/>
  <c r="BO37" i="67"/>
  <c r="BV37" i="67"/>
  <c r="AR37" i="67"/>
  <c r="BG37" i="67"/>
  <c r="CF37" i="67"/>
  <c r="CA36" i="67"/>
  <c r="O36" i="67" s="1"/>
  <c r="AR30" i="23"/>
  <c r="Y30" i="25"/>
  <c r="Q32" i="23"/>
  <c r="U32" i="24" s="1"/>
  <c r="B38" i="66"/>
  <c r="A39" i="66"/>
  <c r="CA36" i="66"/>
  <c r="O36" i="66" s="1"/>
  <c r="R31" i="23"/>
  <c r="V31" i="24" s="1"/>
  <c r="CQ37" i="66"/>
  <c r="CW37" i="66"/>
  <c r="CU37" i="66"/>
  <c r="BM37" i="66"/>
  <c r="BU37" i="66"/>
  <c r="AG37" i="66"/>
  <c r="AP37" i="66"/>
  <c r="CK37" i="66"/>
  <c r="CP37" i="66"/>
  <c r="CO37" i="66"/>
  <c r="CE37" i="66"/>
  <c r="AZ37" i="66"/>
  <c r="BH37" i="66"/>
  <c r="CR37" i="66"/>
  <c r="CV37" i="66"/>
  <c r="CL37" i="66"/>
  <c r="CH37" i="66"/>
  <c r="BY37" i="66"/>
  <c r="BW37" i="66"/>
  <c r="AN37" i="66"/>
  <c r="AV37" i="66"/>
  <c r="CD37" i="66"/>
  <c r="BN37" i="66"/>
  <c r="BZ37" i="66"/>
  <c r="BQ37" i="66"/>
  <c r="BO37" i="66"/>
  <c r="BX37" i="66"/>
  <c r="AH37" i="66"/>
  <c r="BS37" i="66"/>
  <c r="AO37" i="66"/>
  <c r="CI37" i="66"/>
  <c r="BR37" i="66"/>
  <c r="BI37" i="66"/>
  <c r="BG37" i="66"/>
  <c r="BL37" i="66"/>
  <c r="CS37" i="66"/>
  <c r="AR37" i="66"/>
  <c r="BK37" i="66"/>
  <c r="CM37" i="66"/>
  <c r="BJ37" i="66"/>
  <c r="AS37" i="66"/>
  <c r="AY37" i="66"/>
  <c r="AX37" i="66"/>
  <c r="CF37" i="66"/>
  <c r="BV37" i="66"/>
  <c r="AJ37" i="66"/>
  <c r="CJ37" i="66"/>
  <c r="AT37" i="66"/>
  <c r="AK37" i="66"/>
  <c r="AQ37" i="66"/>
  <c r="AM37" i="66"/>
  <c r="BT37" i="66"/>
  <c r="AW37" i="66"/>
  <c r="CN37" i="66"/>
  <c r="CG37" i="66"/>
  <c r="AL37" i="66"/>
  <c r="D37" i="66"/>
  <c r="T31" i="23" s="1"/>
  <c r="Y31" i="24" s="1"/>
  <c r="AI37" i="66"/>
  <c r="CT37" i="66"/>
  <c r="AU37" i="66"/>
  <c r="BP37" i="66"/>
  <c r="BB36" i="66"/>
  <c r="BA36" i="66"/>
  <c r="N36" i="66" s="1"/>
  <c r="B39" i="64"/>
  <c r="J33" i="23" s="1"/>
  <c r="L33" i="24" s="1"/>
  <c r="I33" i="23"/>
  <c r="K33" i="24" s="1"/>
  <c r="CI38" i="69"/>
  <c r="CJ38" i="69"/>
  <c r="CK38" i="69"/>
  <c r="CL38" i="69"/>
  <c r="CM38" i="69"/>
  <c r="CQ38" i="69"/>
  <c r="CI39" i="69"/>
  <c r="CJ39" i="69"/>
  <c r="CG39" i="69"/>
  <c r="CK39" i="69"/>
  <c r="CQ39" i="69"/>
  <c r="CL39" i="69"/>
  <c r="CM39" i="69"/>
  <c r="CI38" i="71"/>
  <c r="CJ38" i="71"/>
  <c r="CK38" i="71"/>
  <c r="CL38" i="71"/>
  <c r="CM38" i="71"/>
  <c r="CQ38" i="73"/>
  <c r="CJ38" i="73"/>
  <c r="CG38" i="73"/>
  <c r="CI38" i="73"/>
  <c r="CK38" i="73"/>
  <c r="CL38" i="73"/>
  <c r="CM38" i="73"/>
  <c r="CI39" i="71"/>
  <c r="CQ39" i="71"/>
  <c r="CL39" i="71"/>
  <c r="CM39" i="71"/>
  <c r="CG39" i="71"/>
  <c r="CJ39" i="71"/>
  <c r="CK39" i="71"/>
  <c r="G82" i="73"/>
  <c r="CK39" i="73"/>
  <c r="CQ39" i="73"/>
  <c r="CL39" i="73"/>
  <c r="CM39" i="73"/>
  <c r="CG39" i="73"/>
  <c r="CI39" i="73"/>
  <c r="CJ39" i="73"/>
  <c r="CJ37" i="72"/>
  <c r="CQ37" i="72"/>
  <c r="CK37" i="72"/>
  <c r="CI37" i="72"/>
  <c r="CL37" i="72"/>
  <c r="CM37" i="72"/>
  <c r="CG37" i="72"/>
  <c r="CG38" i="72"/>
  <c r="CQ38" i="72"/>
  <c r="CI38" i="72"/>
  <c r="CJ38" i="72"/>
  <c r="CK38" i="72"/>
  <c r="CL38" i="72"/>
  <c r="CM38" i="72"/>
  <c r="CI38" i="64"/>
  <c r="CL38" i="64"/>
  <c r="CM38" i="64"/>
  <c r="CG38" i="64"/>
  <c r="CJ38" i="64"/>
  <c r="CK38" i="64"/>
  <c r="CQ38" i="64"/>
  <c r="CI39" i="64"/>
  <c r="CJ39" i="64"/>
  <c r="CQ39" i="64"/>
  <c r="CK39" i="64"/>
  <c r="CL39" i="64"/>
  <c r="CG39" i="64"/>
  <c r="CM39" i="64"/>
  <c r="CI38" i="63"/>
  <c r="CJ38" i="63"/>
  <c r="CK38" i="63"/>
  <c r="CL38" i="63"/>
  <c r="CM38" i="63"/>
  <c r="CQ38" i="63"/>
  <c r="CG38" i="63"/>
  <c r="G85" i="68"/>
  <c r="G86" i="65"/>
  <c r="CX37" i="64"/>
  <c r="P37" i="64" s="1"/>
  <c r="CX37" i="73"/>
  <c r="P37" i="73" s="1"/>
  <c r="Q36" i="73"/>
  <c r="G64" i="64"/>
  <c r="G82" i="64"/>
  <c r="G73" i="64"/>
  <c r="G66" i="64"/>
  <c r="G67" i="64"/>
  <c r="G83" i="64"/>
  <c r="G68" i="64"/>
  <c r="G72" i="64"/>
  <c r="G84" i="64"/>
  <c r="G77" i="64"/>
  <c r="G86" i="64"/>
  <c r="G78" i="64"/>
  <c r="G79" i="64"/>
  <c r="G71" i="64"/>
  <c r="G85" i="64"/>
  <c r="G65" i="64"/>
  <c r="G80" i="64"/>
  <c r="G74" i="64"/>
  <c r="G76" i="64"/>
  <c r="G70" i="64"/>
  <c r="G77" i="63"/>
  <c r="G84" i="63"/>
  <c r="G85" i="63"/>
  <c r="G64" i="63"/>
  <c r="G78" i="63"/>
  <c r="G65" i="63"/>
  <c r="G69" i="63"/>
  <c r="G66" i="63"/>
  <c r="G72" i="63"/>
  <c r="G71" i="63"/>
  <c r="G63" i="63"/>
  <c r="G76" i="63"/>
  <c r="G70" i="63"/>
  <c r="G82" i="63"/>
  <c r="G81" i="63"/>
  <c r="G83" i="63"/>
  <c r="G79" i="63"/>
  <c r="G75" i="63"/>
  <c r="G67" i="63"/>
  <c r="G73" i="63"/>
  <c r="G74" i="73"/>
  <c r="G86" i="73"/>
  <c r="G78" i="73"/>
  <c r="G77" i="73"/>
  <c r="G84" i="73"/>
  <c r="G67" i="73"/>
  <c r="G83" i="73"/>
  <c r="G79" i="73"/>
  <c r="G70" i="73"/>
  <c r="G64" i="73"/>
  <c r="G65" i="73"/>
  <c r="G85" i="73"/>
  <c r="G76" i="73"/>
  <c r="G72" i="73"/>
  <c r="G66" i="73"/>
  <c r="G71" i="73"/>
  <c r="G80" i="73"/>
  <c r="G73" i="73"/>
  <c r="G68" i="73"/>
  <c r="G83" i="72"/>
  <c r="G82" i="72"/>
  <c r="G65" i="72"/>
  <c r="G72" i="72"/>
  <c r="G71" i="72"/>
  <c r="G77" i="72"/>
  <c r="G81" i="72"/>
  <c r="G67" i="72"/>
  <c r="G76" i="72"/>
  <c r="G63" i="72"/>
  <c r="G70" i="72"/>
  <c r="G69" i="72"/>
  <c r="G78" i="72"/>
  <c r="G66" i="72"/>
  <c r="G84" i="72"/>
  <c r="G79" i="72"/>
  <c r="G85" i="72"/>
  <c r="G75" i="72"/>
  <c r="G73" i="72"/>
  <c r="G64" i="72"/>
  <c r="G65" i="69"/>
  <c r="G67" i="69"/>
  <c r="G85" i="69"/>
  <c r="G79" i="69"/>
  <c r="G74" i="69"/>
  <c r="G80" i="69"/>
  <c r="G84" i="69"/>
  <c r="G86" i="69"/>
  <c r="G72" i="69"/>
  <c r="G77" i="69"/>
  <c r="G70" i="69"/>
  <c r="G83" i="69"/>
  <c r="G78" i="69"/>
  <c r="G71" i="69"/>
  <c r="G66" i="69"/>
  <c r="G73" i="69"/>
  <c r="G64" i="69"/>
  <c r="G82" i="69"/>
  <c r="G68" i="69"/>
  <c r="G76" i="69"/>
  <c r="G65" i="71"/>
  <c r="G80" i="71"/>
  <c r="G83" i="71"/>
  <c r="G71" i="71"/>
  <c r="G72" i="71"/>
  <c r="G74" i="71"/>
  <c r="G73" i="71"/>
  <c r="G68" i="71"/>
  <c r="G85" i="71"/>
  <c r="G84" i="71"/>
  <c r="G82" i="71"/>
  <c r="G66" i="71"/>
  <c r="G77" i="71"/>
  <c r="G67" i="71"/>
  <c r="G76" i="71"/>
  <c r="G86" i="71"/>
  <c r="G70" i="71"/>
  <c r="G64" i="71"/>
  <c r="G79" i="71"/>
  <c r="G78" i="71"/>
  <c r="BB37" i="73"/>
  <c r="BA37" i="73"/>
  <c r="N37" i="73" s="1"/>
  <c r="CS38" i="73"/>
  <c r="BU38" i="73"/>
  <c r="BM38" i="73"/>
  <c r="AW38" i="73"/>
  <c r="AO38" i="73"/>
  <c r="AG38" i="73"/>
  <c r="CR38" i="73"/>
  <c r="BT38" i="73"/>
  <c r="BL38" i="73"/>
  <c r="AV38" i="73"/>
  <c r="AN38" i="73"/>
  <c r="CP38" i="73"/>
  <c r="CH38" i="73"/>
  <c r="BZ38" i="73"/>
  <c r="BR38" i="73"/>
  <c r="BJ38" i="73"/>
  <c r="AT38" i="73"/>
  <c r="AL38" i="73"/>
  <c r="CW38" i="73"/>
  <c r="BO38" i="73"/>
  <c r="AR38" i="73"/>
  <c r="D38" i="73"/>
  <c r="CV38" i="73"/>
  <c r="BY38" i="73"/>
  <c r="BN38" i="73"/>
  <c r="AQ38" i="73"/>
  <c r="CU38" i="73"/>
  <c r="BX38" i="73"/>
  <c r="BK38" i="73"/>
  <c r="AP38" i="73"/>
  <c r="CT38" i="73"/>
  <c r="CF38" i="73"/>
  <c r="BW38" i="73"/>
  <c r="BI38" i="73"/>
  <c r="AZ38" i="73"/>
  <c r="AM38" i="73"/>
  <c r="CO38" i="73"/>
  <c r="CD38" i="73"/>
  <c r="BS38" i="73"/>
  <c r="BG38" i="73"/>
  <c r="AX38" i="73"/>
  <c r="AJ38" i="73"/>
  <c r="CN38" i="73"/>
  <c r="BQ38" i="73"/>
  <c r="AU38" i="73"/>
  <c r="AI38" i="73"/>
  <c r="BP38" i="73"/>
  <c r="AS38" i="73"/>
  <c r="AH38" i="73"/>
  <c r="CE38" i="73"/>
  <c r="AY38" i="73"/>
  <c r="AK38" i="73"/>
  <c r="BV38" i="73"/>
  <c r="BH38" i="73"/>
  <c r="CA37" i="73"/>
  <c r="O37" i="73" s="1"/>
  <c r="CV39" i="73"/>
  <c r="CN39" i="73"/>
  <c r="CF39" i="73"/>
  <c r="BX39" i="73"/>
  <c r="BP39" i="73"/>
  <c r="BH39" i="73"/>
  <c r="AZ39" i="73"/>
  <c r="AR39" i="73"/>
  <c r="AJ39" i="73"/>
  <c r="CU39" i="73"/>
  <c r="CE39" i="73"/>
  <c r="BW39" i="73"/>
  <c r="BO39" i="73"/>
  <c r="BG39" i="73"/>
  <c r="AY39" i="73"/>
  <c r="AQ39" i="73"/>
  <c r="AI39" i="73"/>
  <c r="CS39" i="73"/>
  <c r="BU39" i="73"/>
  <c r="BM39" i="73"/>
  <c r="AW39" i="73"/>
  <c r="AO39" i="73"/>
  <c r="AG39" i="73"/>
  <c r="CT39" i="73"/>
  <c r="CH39" i="73"/>
  <c r="BV39" i="73"/>
  <c r="BJ39" i="73"/>
  <c r="AX39" i="73"/>
  <c r="AL39" i="73"/>
  <c r="CR39" i="73"/>
  <c r="BT39" i="73"/>
  <c r="BI39" i="73"/>
  <c r="AV39" i="73"/>
  <c r="AK39" i="73"/>
  <c r="CD39" i="73"/>
  <c r="BS39" i="73"/>
  <c r="AU39" i="73"/>
  <c r="AH39" i="73"/>
  <c r="CP39" i="73"/>
  <c r="BR39" i="73"/>
  <c r="AT39" i="73"/>
  <c r="BN39" i="73"/>
  <c r="AP39" i="73"/>
  <c r="D39" i="73"/>
  <c r="BZ39" i="73"/>
  <c r="BL39" i="73"/>
  <c r="AN39" i="73"/>
  <c r="CW39" i="73"/>
  <c r="BY39" i="73"/>
  <c r="BK39" i="73"/>
  <c r="AM39" i="73"/>
  <c r="BQ39" i="73"/>
  <c r="CO39" i="73"/>
  <c r="AS39" i="73"/>
  <c r="CS37" i="72"/>
  <c r="BU37" i="72"/>
  <c r="BM37" i="72"/>
  <c r="AW37" i="72"/>
  <c r="AO37" i="72"/>
  <c r="AG37" i="72"/>
  <c r="CR37" i="72"/>
  <c r="BT37" i="72"/>
  <c r="BL37" i="72"/>
  <c r="AV37" i="72"/>
  <c r="AN37" i="72"/>
  <c r="CP37" i="72"/>
  <c r="CH37" i="72"/>
  <c r="BZ37" i="72"/>
  <c r="BR37" i="72"/>
  <c r="BJ37" i="72"/>
  <c r="AT37" i="72"/>
  <c r="AL37" i="72"/>
  <c r="BP37" i="72"/>
  <c r="AS37" i="72"/>
  <c r="AH37" i="72"/>
  <c r="CW37" i="72"/>
  <c r="BO37" i="72"/>
  <c r="AR37" i="72"/>
  <c r="D37" i="72"/>
  <c r="CV37" i="72"/>
  <c r="BY37" i="72"/>
  <c r="BN37" i="72"/>
  <c r="AQ37" i="72"/>
  <c r="CU37" i="72"/>
  <c r="BX37" i="72"/>
  <c r="BK37" i="72"/>
  <c r="AP37" i="72"/>
  <c r="CT37" i="72"/>
  <c r="CF37" i="72"/>
  <c r="BW37" i="72"/>
  <c r="BI37" i="72"/>
  <c r="AZ37" i="72"/>
  <c r="AM37" i="72"/>
  <c r="CE37" i="72"/>
  <c r="BV37" i="72"/>
  <c r="BH37" i="72"/>
  <c r="AY37" i="72"/>
  <c r="AK37" i="72"/>
  <c r="CO37" i="72"/>
  <c r="CD37" i="72"/>
  <c r="BS37" i="72"/>
  <c r="BG37" i="72"/>
  <c r="AX37" i="72"/>
  <c r="AJ37" i="72"/>
  <c r="CN37" i="72"/>
  <c r="BQ37" i="72"/>
  <c r="AU37" i="72"/>
  <c r="AI37" i="72"/>
  <c r="BB36" i="72"/>
  <c r="BA36" i="72"/>
  <c r="N36" i="72" s="1"/>
  <c r="CA36" i="72"/>
  <c r="O36" i="72" s="1"/>
  <c r="CV38" i="72"/>
  <c r="CN38" i="72"/>
  <c r="CF38" i="72"/>
  <c r="BX38" i="72"/>
  <c r="BP38" i="72"/>
  <c r="BH38" i="72"/>
  <c r="AZ38" i="72"/>
  <c r="AR38" i="72"/>
  <c r="AJ38" i="72"/>
  <c r="CU38" i="72"/>
  <c r="CE38" i="72"/>
  <c r="BW38" i="72"/>
  <c r="BO38" i="72"/>
  <c r="BG38" i="72"/>
  <c r="AY38" i="72"/>
  <c r="AQ38" i="72"/>
  <c r="AI38" i="72"/>
  <c r="CS38" i="72"/>
  <c r="BU38" i="72"/>
  <c r="BM38" i="72"/>
  <c r="AW38" i="72"/>
  <c r="AO38" i="72"/>
  <c r="AG38" i="72"/>
  <c r="CW38" i="72"/>
  <c r="BY38" i="72"/>
  <c r="BK38" i="72"/>
  <c r="AM38" i="72"/>
  <c r="CT38" i="72"/>
  <c r="CH38" i="72"/>
  <c r="BV38" i="72"/>
  <c r="BJ38" i="72"/>
  <c r="AX38" i="72"/>
  <c r="AL38" i="72"/>
  <c r="CR38" i="72"/>
  <c r="BT38" i="72"/>
  <c r="BI38" i="72"/>
  <c r="AV38" i="72"/>
  <c r="AK38" i="72"/>
  <c r="CD38" i="72"/>
  <c r="BS38" i="72"/>
  <c r="AU38" i="72"/>
  <c r="AH38" i="72"/>
  <c r="CP38" i="72"/>
  <c r="BR38" i="72"/>
  <c r="AT38" i="72"/>
  <c r="CO38" i="72"/>
  <c r="BQ38" i="72"/>
  <c r="AS38" i="72"/>
  <c r="BN38" i="72"/>
  <c r="AP38" i="72"/>
  <c r="D38" i="72"/>
  <c r="BZ38" i="72"/>
  <c r="BL38" i="72"/>
  <c r="AN38" i="72"/>
  <c r="CU38" i="71"/>
  <c r="BO38" i="71"/>
  <c r="BG38" i="71"/>
  <c r="AY38" i="71"/>
  <c r="AQ38" i="71"/>
  <c r="AI38" i="71"/>
  <c r="CS38" i="71"/>
  <c r="BU38" i="71"/>
  <c r="BM38" i="71"/>
  <c r="AW38" i="71"/>
  <c r="AO38" i="71"/>
  <c r="AG38" i="71"/>
  <c r="CR38" i="71"/>
  <c r="BT38" i="71"/>
  <c r="BL38" i="71"/>
  <c r="AV38" i="71"/>
  <c r="AN38" i="71"/>
  <c r="CP38" i="71"/>
  <c r="CH38" i="71"/>
  <c r="BZ38" i="71"/>
  <c r="BJ38" i="71"/>
  <c r="AT38" i="71"/>
  <c r="AL38" i="71"/>
  <c r="CV38" i="71"/>
  <c r="CN38" i="71"/>
  <c r="CF38" i="71"/>
  <c r="BX38" i="71"/>
  <c r="BP38" i="71"/>
  <c r="AZ38" i="71"/>
  <c r="AR38" i="71"/>
  <c r="AJ38" i="71"/>
  <c r="BI38" i="71"/>
  <c r="AS38" i="71"/>
  <c r="AP38" i="71"/>
  <c r="BY38" i="71"/>
  <c r="AM38" i="71"/>
  <c r="BV38" i="71"/>
  <c r="AK38" i="71"/>
  <c r="BS38" i="71"/>
  <c r="AH38" i="71"/>
  <c r="BQ38" i="71"/>
  <c r="D38" i="71"/>
  <c r="CD38" i="71"/>
  <c r="BN38" i="71"/>
  <c r="AX38" i="71"/>
  <c r="CW38" i="71"/>
  <c r="AU38" i="71"/>
  <c r="BK38" i="71"/>
  <c r="CA37" i="71"/>
  <c r="O37" i="71" s="1"/>
  <c r="BZ39" i="71"/>
  <c r="BJ39" i="71"/>
  <c r="AT39" i="71"/>
  <c r="AL39" i="71"/>
  <c r="CV39" i="71"/>
  <c r="CN39" i="71"/>
  <c r="BP39" i="71"/>
  <c r="BH39" i="71"/>
  <c r="AZ39" i="71"/>
  <c r="AR39" i="71"/>
  <c r="AJ39" i="71"/>
  <c r="CE39" i="71"/>
  <c r="BW39" i="71"/>
  <c r="BO39" i="71"/>
  <c r="BG39" i="71"/>
  <c r="AY39" i="71"/>
  <c r="AQ39" i="71"/>
  <c r="AI39" i="71"/>
  <c r="CS39" i="71"/>
  <c r="BU39" i="71"/>
  <c r="BM39" i="71"/>
  <c r="AW39" i="71"/>
  <c r="AO39" i="71"/>
  <c r="AG39" i="71"/>
  <c r="BK39" i="71"/>
  <c r="AU39" i="71"/>
  <c r="AM39" i="71"/>
  <c r="CT39" i="71"/>
  <c r="AP39" i="71"/>
  <c r="BY39" i="71"/>
  <c r="AN39" i="71"/>
  <c r="CO39" i="71"/>
  <c r="BV39" i="71"/>
  <c r="AK39" i="71"/>
  <c r="BT39" i="71"/>
  <c r="AH39" i="71"/>
  <c r="BQ39" i="71"/>
  <c r="D39" i="71"/>
  <c r="BN39" i="71"/>
  <c r="AX39" i="71"/>
  <c r="CD39" i="71"/>
  <c r="BL39" i="71"/>
  <c r="AV39" i="71"/>
  <c r="CW39" i="71"/>
  <c r="AS39" i="71"/>
  <c r="BB37" i="71"/>
  <c r="BA37" i="71"/>
  <c r="N37" i="71" s="1"/>
  <c r="CS38" i="69"/>
  <c r="BU38" i="69"/>
  <c r="BM38" i="69"/>
  <c r="AW38" i="69"/>
  <c r="AO38" i="69"/>
  <c r="AG38" i="69"/>
  <c r="CR38" i="69"/>
  <c r="BL38" i="69"/>
  <c r="AV38" i="69"/>
  <c r="AN38" i="69"/>
  <c r="CP38" i="69"/>
  <c r="CH38" i="69"/>
  <c r="BZ38" i="69"/>
  <c r="AT38" i="69"/>
  <c r="AL38" i="69"/>
  <c r="CN38" i="69"/>
  <c r="BQ38" i="69"/>
  <c r="AU38" i="69"/>
  <c r="AI38" i="69"/>
  <c r="BP38" i="69"/>
  <c r="AS38" i="69"/>
  <c r="AH38" i="69"/>
  <c r="CV38" i="69"/>
  <c r="BY38" i="69"/>
  <c r="BN38" i="69"/>
  <c r="AQ38" i="69"/>
  <c r="CU38" i="69"/>
  <c r="BX38" i="69"/>
  <c r="BK38" i="69"/>
  <c r="AP38" i="69"/>
  <c r="CT38" i="69"/>
  <c r="CF38" i="69"/>
  <c r="BW38" i="69"/>
  <c r="BI38" i="69"/>
  <c r="AZ38" i="69"/>
  <c r="AM38" i="69"/>
  <c r="CE38" i="69"/>
  <c r="BV38" i="69"/>
  <c r="BH38" i="69"/>
  <c r="AY38" i="69"/>
  <c r="AK38" i="69"/>
  <c r="AX38" i="69"/>
  <c r="BS38" i="69"/>
  <c r="AR38" i="69"/>
  <c r="CW38" i="69"/>
  <c r="AJ38" i="69"/>
  <c r="D38" i="69"/>
  <c r="CO38" i="69"/>
  <c r="BG38" i="69"/>
  <c r="CD38" i="69"/>
  <c r="CP39" i="69"/>
  <c r="BZ39" i="69"/>
  <c r="BJ39" i="69"/>
  <c r="AT39" i="69"/>
  <c r="AL39" i="69"/>
  <c r="CV39" i="69"/>
  <c r="CN39" i="69"/>
  <c r="CF39" i="69"/>
  <c r="BX39" i="69"/>
  <c r="BH39" i="69"/>
  <c r="AZ39" i="69"/>
  <c r="AR39" i="69"/>
  <c r="AJ39" i="69"/>
  <c r="CU39" i="69"/>
  <c r="CE39" i="69"/>
  <c r="BW39" i="69"/>
  <c r="BO39" i="69"/>
  <c r="BG39" i="69"/>
  <c r="AY39" i="69"/>
  <c r="AQ39" i="69"/>
  <c r="AI39" i="69"/>
  <c r="CS39" i="69"/>
  <c r="BM39" i="69"/>
  <c r="AW39" i="69"/>
  <c r="AO39" i="69"/>
  <c r="AG39" i="69"/>
  <c r="BT39" i="69"/>
  <c r="AP39" i="69"/>
  <c r="CW39" i="69"/>
  <c r="BS39" i="69"/>
  <c r="AN39" i="69"/>
  <c r="CT39" i="69"/>
  <c r="BN39" i="69"/>
  <c r="AK39" i="69"/>
  <c r="BL39" i="69"/>
  <c r="AX39" i="69"/>
  <c r="AH39" i="69"/>
  <c r="CO39" i="69"/>
  <c r="AV39" i="69"/>
  <c r="BY39" i="69"/>
  <c r="BI39" i="69"/>
  <c r="AU39" i="69"/>
  <c r="AS39" i="69"/>
  <c r="AM39" i="69"/>
  <c r="D39" i="69"/>
  <c r="BV39" i="69"/>
  <c r="BQ39" i="69"/>
  <c r="CD39" i="69"/>
  <c r="BB37" i="69"/>
  <c r="BA37" i="69"/>
  <c r="N37" i="69" s="1"/>
  <c r="BB37" i="65"/>
  <c r="BA37" i="65"/>
  <c r="N37" i="65" s="1"/>
  <c r="BB38" i="65"/>
  <c r="BA38" i="65"/>
  <c r="CA37" i="64"/>
  <c r="O37" i="64" s="1"/>
  <c r="BB37" i="64"/>
  <c r="BA37" i="64"/>
  <c r="N37" i="64" s="1"/>
  <c r="CS38" i="64"/>
  <c r="BU38" i="64"/>
  <c r="BM38" i="64"/>
  <c r="AW38" i="64"/>
  <c r="AO38" i="64"/>
  <c r="AG38" i="64"/>
  <c r="CR38" i="64"/>
  <c r="BT38" i="64"/>
  <c r="BL38" i="64"/>
  <c r="AV38" i="64"/>
  <c r="AN38" i="64"/>
  <c r="CP38" i="64"/>
  <c r="CH38" i="64"/>
  <c r="BZ38" i="64"/>
  <c r="BR38" i="64"/>
  <c r="BJ38" i="64"/>
  <c r="AT38" i="64"/>
  <c r="AL38" i="64"/>
  <c r="CT38" i="64"/>
  <c r="CF38" i="64"/>
  <c r="BW38" i="64"/>
  <c r="BI38" i="64"/>
  <c r="AZ38" i="64"/>
  <c r="AM38" i="64"/>
  <c r="CE38" i="64"/>
  <c r="BV38" i="64"/>
  <c r="BH38" i="64"/>
  <c r="AY38" i="64"/>
  <c r="AK38" i="64"/>
  <c r="CO38" i="64"/>
  <c r="BS38" i="64"/>
  <c r="BG38" i="64"/>
  <c r="AX38" i="64"/>
  <c r="AJ38" i="64"/>
  <c r="CN38" i="64"/>
  <c r="BQ38" i="64"/>
  <c r="AU38" i="64"/>
  <c r="AI38" i="64"/>
  <c r="CW38" i="64"/>
  <c r="BO38" i="64"/>
  <c r="AR38" i="64"/>
  <c r="D38" i="64"/>
  <c r="L32" i="23" s="1"/>
  <c r="O32" i="24" s="1"/>
  <c r="CV38" i="64"/>
  <c r="BY38" i="64"/>
  <c r="BN38" i="64"/>
  <c r="AQ38" i="64"/>
  <c r="CU38" i="64"/>
  <c r="BX38" i="64"/>
  <c r="BK38" i="64"/>
  <c r="AP38" i="64"/>
  <c r="AS38" i="64"/>
  <c r="AH38" i="64"/>
  <c r="BP38" i="64"/>
  <c r="CV39" i="64"/>
  <c r="CN39" i="64"/>
  <c r="CF39" i="64"/>
  <c r="BX39" i="64"/>
  <c r="BP39" i="64"/>
  <c r="BH39" i="64"/>
  <c r="AZ39" i="64"/>
  <c r="AR39" i="64"/>
  <c r="AJ39" i="64"/>
  <c r="CU39" i="64"/>
  <c r="BW39" i="64"/>
  <c r="BO39" i="64"/>
  <c r="AY39" i="64"/>
  <c r="AQ39" i="64"/>
  <c r="AI39" i="64"/>
  <c r="CS39" i="64"/>
  <c r="BU39" i="64"/>
  <c r="BM39" i="64"/>
  <c r="AW39" i="64"/>
  <c r="AO39" i="64"/>
  <c r="AG39" i="64"/>
  <c r="CT39" i="64"/>
  <c r="BR39" i="64"/>
  <c r="AT39" i="64"/>
  <c r="CR39" i="64"/>
  <c r="BQ39" i="64"/>
  <c r="AS39" i="64"/>
  <c r="CP39" i="64"/>
  <c r="BN39" i="64"/>
  <c r="AP39" i="64"/>
  <c r="D39" i="64"/>
  <c r="L33" i="23" s="1"/>
  <c r="O33" i="24" s="1"/>
  <c r="CO39" i="64"/>
  <c r="BZ39" i="64"/>
  <c r="BL39" i="64"/>
  <c r="AN39" i="64"/>
  <c r="BV39" i="64"/>
  <c r="BJ39" i="64"/>
  <c r="AX39" i="64"/>
  <c r="AL39" i="64"/>
  <c r="CH39" i="64"/>
  <c r="BT39" i="64"/>
  <c r="BI39" i="64"/>
  <c r="AV39" i="64"/>
  <c r="AK39" i="64"/>
  <c r="CW39" i="64"/>
  <c r="BS39" i="64"/>
  <c r="AU39" i="64"/>
  <c r="AH39" i="64"/>
  <c r="BY39" i="64"/>
  <c r="BK39" i="64"/>
  <c r="AM39" i="64"/>
  <c r="CS38" i="63"/>
  <c r="BU38" i="63"/>
  <c r="BM38" i="63"/>
  <c r="AW38" i="63"/>
  <c r="AO38" i="63"/>
  <c r="AG38" i="63"/>
  <c r="CR38" i="63"/>
  <c r="BT38" i="63"/>
  <c r="BL38" i="63"/>
  <c r="AV38" i="63"/>
  <c r="AN38" i="63"/>
  <c r="CP38" i="63"/>
  <c r="BZ38" i="63"/>
  <c r="BR38" i="63"/>
  <c r="BJ38" i="63"/>
  <c r="AT38" i="63"/>
  <c r="AL38" i="63"/>
  <c r="CU38" i="63"/>
  <c r="BX38" i="63"/>
  <c r="AP38" i="63"/>
  <c r="CT38" i="63"/>
  <c r="CF38" i="63"/>
  <c r="BW38" i="63"/>
  <c r="BI38" i="63"/>
  <c r="AZ38" i="63"/>
  <c r="AM38" i="63"/>
  <c r="CE38" i="63"/>
  <c r="BV38" i="63"/>
  <c r="BH38" i="63"/>
  <c r="AY38" i="63"/>
  <c r="AK38" i="63"/>
  <c r="CO38" i="63"/>
  <c r="CD38" i="63"/>
  <c r="BS38" i="63"/>
  <c r="BG38" i="63"/>
  <c r="AX38" i="63"/>
  <c r="AJ38" i="63"/>
  <c r="CN38" i="63"/>
  <c r="BQ38" i="63"/>
  <c r="AU38" i="63"/>
  <c r="AI38" i="63"/>
  <c r="CW38" i="63"/>
  <c r="BO38" i="63"/>
  <c r="AR38" i="63"/>
  <c r="D38" i="63"/>
  <c r="BP38" i="63"/>
  <c r="AH38" i="63"/>
  <c r="BN38" i="63"/>
  <c r="CV38" i="63"/>
  <c r="AS38" i="63"/>
  <c r="BY38" i="63"/>
  <c r="AQ38" i="63"/>
  <c r="BB37" i="63"/>
  <c r="BA37" i="63"/>
  <c r="N37" i="63" s="1"/>
  <c r="G86" i="70" l="1"/>
  <c r="BA37" i="70"/>
  <c r="N37" i="70" s="1"/>
  <c r="BB37" i="70"/>
  <c r="O31" i="25"/>
  <c r="AJ31" i="23"/>
  <c r="CA37" i="70"/>
  <c r="O37" i="70" s="1"/>
  <c r="BR38" i="70"/>
  <c r="CQ38" i="70"/>
  <c r="CN38" i="70"/>
  <c r="CU38" i="70"/>
  <c r="BU38" i="70"/>
  <c r="AM38" i="70"/>
  <c r="AN38" i="70"/>
  <c r="AX38" i="70"/>
  <c r="AH32" i="23"/>
  <c r="L32" i="25" s="1"/>
  <c r="CJ38" i="70"/>
  <c r="CP38" i="70"/>
  <c r="CF38" i="70"/>
  <c r="BW38" i="70"/>
  <c r="BM38" i="70"/>
  <c r="CW38" i="70"/>
  <c r="BV38" i="70"/>
  <c r="CD38" i="70"/>
  <c r="CK38" i="70"/>
  <c r="CH38" i="70"/>
  <c r="BX38" i="70"/>
  <c r="BO38" i="70"/>
  <c r="AW38" i="70"/>
  <c r="BI38" i="70"/>
  <c r="AK38" i="70"/>
  <c r="BL38" i="70"/>
  <c r="CL38" i="70"/>
  <c r="BZ38" i="70"/>
  <c r="BP38" i="70"/>
  <c r="BG38" i="70"/>
  <c r="AO38" i="70"/>
  <c r="AS38" i="70"/>
  <c r="BT38" i="70"/>
  <c r="AV38" i="70"/>
  <c r="CM38" i="70"/>
  <c r="BJ38" i="70"/>
  <c r="BH38" i="70"/>
  <c r="AY38" i="70"/>
  <c r="AG38" i="70"/>
  <c r="CT38" i="70"/>
  <c r="AH38" i="70"/>
  <c r="CG38" i="70"/>
  <c r="AT38" i="70"/>
  <c r="AZ38" i="70"/>
  <c r="AQ38" i="70"/>
  <c r="BS38" i="70"/>
  <c r="AP38" i="70"/>
  <c r="BQ38" i="70"/>
  <c r="AL38" i="70"/>
  <c r="AR38" i="70"/>
  <c r="AI38" i="70"/>
  <c r="BK38" i="70"/>
  <c r="CR38" i="70"/>
  <c r="D38" i="70"/>
  <c r="CI38" i="70"/>
  <c r="CV38" i="70"/>
  <c r="AJ38" i="70"/>
  <c r="CS38" i="70"/>
  <c r="AU38" i="70"/>
  <c r="BY38" i="70"/>
  <c r="BN38" i="70"/>
  <c r="BA38" i="68"/>
  <c r="CA37" i="67"/>
  <c r="O37" i="67" s="1"/>
  <c r="B39" i="67"/>
  <c r="U33" i="23"/>
  <c r="Z33" i="24" s="1"/>
  <c r="T33" i="25"/>
  <c r="AN33" i="23"/>
  <c r="AD33" i="25"/>
  <c r="AV33" i="23"/>
  <c r="Y32" i="25"/>
  <c r="AR32" i="23"/>
  <c r="AF33" i="23"/>
  <c r="J33" i="25"/>
  <c r="J32" i="25"/>
  <c r="AF32" i="23"/>
  <c r="T32" i="25"/>
  <c r="AN32" i="23"/>
  <c r="Y31" i="25"/>
  <c r="AR31" i="23"/>
  <c r="AV32" i="23"/>
  <c r="AD32" i="25"/>
  <c r="Q36" i="67"/>
  <c r="BA37" i="67"/>
  <c r="N37" i="67" s="1"/>
  <c r="BB37" i="67"/>
  <c r="V32" i="23"/>
  <c r="AA32" i="24" s="1"/>
  <c r="G83" i="67"/>
  <c r="G77" i="67"/>
  <c r="G64" i="67"/>
  <c r="BM38" i="67"/>
  <c r="CH38" i="67"/>
  <c r="AP38" i="67"/>
  <c r="CI38" i="67"/>
  <c r="G85" i="67"/>
  <c r="G73" i="67"/>
  <c r="G74" i="67"/>
  <c r="AW38" i="67"/>
  <c r="BZ38" i="67"/>
  <c r="CL38" i="67"/>
  <c r="G80" i="67"/>
  <c r="G71" i="67"/>
  <c r="BR38" i="67"/>
  <c r="AO38" i="67"/>
  <c r="BJ38" i="67"/>
  <c r="CF38" i="67"/>
  <c r="AK38" i="67"/>
  <c r="AH38" i="67"/>
  <c r="AQ38" i="67"/>
  <c r="AN38" i="67"/>
  <c r="AU38" i="67"/>
  <c r="CP38" i="67"/>
  <c r="CT38" i="67"/>
  <c r="CM38" i="67"/>
  <c r="G72" i="67"/>
  <c r="G78" i="67"/>
  <c r="BS38" i="67"/>
  <c r="AG38" i="67"/>
  <c r="AT38" i="67"/>
  <c r="BW38" i="67"/>
  <c r="CO38" i="67"/>
  <c r="CW38" i="67"/>
  <c r="AM38" i="67"/>
  <c r="AI38" i="67"/>
  <c r="BH38" i="67"/>
  <c r="AS38" i="67"/>
  <c r="CQ38" i="67"/>
  <c r="G79" i="67"/>
  <c r="G86" i="67"/>
  <c r="BT38" i="67"/>
  <c r="CR38" i="67"/>
  <c r="AL38" i="67"/>
  <c r="BI38" i="67"/>
  <c r="AX38" i="67"/>
  <c r="BO38" i="67"/>
  <c r="BX38" i="67"/>
  <c r="BK38" i="67"/>
  <c r="BY38" i="67"/>
  <c r="CG38" i="67"/>
  <c r="G70" i="67"/>
  <c r="G84" i="67"/>
  <c r="BU38" i="67"/>
  <c r="AV38" i="67"/>
  <c r="CU38" i="67"/>
  <c r="AZ38" i="67"/>
  <c r="AJ38" i="67"/>
  <c r="AR38" i="67"/>
  <c r="D38" i="67"/>
  <c r="X32" i="23" s="1"/>
  <c r="AD32" i="24" s="1"/>
  <c r="BV38" i="67"/>
  <c r="BP38" i="67"/>
  <c r="CK38" i="67"/>
  <c r="G68" i="67"/>
  <c r="G82" i="67"/>
  <c r="G66" i="67"/>
  <c r="CS38" i="67"/>
  <c r="CV38" i="67"/>
  <c r="AY38" i="67"/>
  <c r="G67" i="67"/>
  <c r="G76" i="67"/>
  <c r="G65" i="67"/>
  <c r="BN38" i="67"/>
  <c r="CA37" i="66"/>
  <c r="O37" i="66" s="1"/>
  <c r="BA37" i="66"/>
  <c r="N37" i="66" s="1"/>
  <c r="BB37" i="66"/>
  <c r="B39" i="66"/>
  <c r="Q33" i="23"/>
  <c r="U33" i="24" s="1"/>
  <c r="R32" i="23"/>
  <c r="V32" i="24" s="1"/>
  <c r="G79" i="66"/>
  <c r="G67" i="66"/>
  <c r="AO38" i="66"/>
  <c r="CH38" i="66"/>
  <c r="BW38" i="66"/>
  <c r="AK38" i="66"/>
  <c r="BQ38" i="66"/>
  <c r="AR38" i="66"/>
  <c r="CU38" i="66"/>
  <c r="BL38" i="66"/>
  <c r="AV38" i="66"/>
  <c r="AH38" i="66"/>
  <c r="BM38" i="66"/>
  <c r="CI38" i="66"/>
  <c r="G65" i="66"/>
  <c r="G72" i="66"/>
  <c r="AG38" i="66"/>
  <c r="BZ38" i="66"/>
  <c r="BI38" i="66"/>
  <c r="CO38" i="66"/>
  <c r="AU38" i="66"/>
  <c r="D38" i="66"/>
  <c r="T32" i="23" s="1"/>
  <c r="Y32" i="24" s="1"/>
  <c r="BK38" i="66"/>
  <c r="CE38" i="66"/>
  <c r="AS38" i="66"/>
  <c r="AL38" i="66"/>
  <c r="CT38" i="66"/>
  <c r="BN38" i="66"/>
  <c r="CK38" i="66"/>
  <c r="G77" i="66"/>
  <c r="G71" i="66"/>
  <c r="CR38" i="66"/>
  <c r="BR38" i="66"/>
  <c r="AZ38" i="66"/>
  <c r="CD38" i="66"/>
  <c r="AI38" i="66"/>
  <c r="BY38" i="66"/>
  <c r="AT38" i="66"/>
  <c r="AQ38" i="66"/>
  <c r="BU38" i="66"/>
  <c r="CV38" i="66"/>
  <c r="AN38" i="66"/>
  <c r="BO38" i="66"/>
  <c r="CL38" i="66"/>
  <c r="G82" i="66"/>
  <c r="G80" i="66"/>
  <c r="BT38" i="66"/>
  <c r="BJ38" i="66"/>
  <c r="AM38" i="66"/>
  <c r="BS38" i="66"/>
  <c r="BP38" i="66"/>
  <c r="BX38" i="66"/>
  <c r="CS38" i="66"/>
  <c r="BG38" i="66"/>
  <c r="BV38" i="66"/>
  <c r="AX38" i="66"/>
  <c r="BH38" i="66"/>
  <c r="CG38" i="66"/>
  <c r="G73" i="66"/>
  <c r="G64" i="66"/>
  <c r="G70" i="66"/>
  <c r="CN38" i="66"/>
  <c r="CM38" i="66"/>
  <c r="G78" i="66"/>
  <c r="G68" i="66"/>
  <c r="G84" i="66"/>
  <c r="AJ38" i="66"/>
  <c r="AP38" i="66"/>
  <c r="CJ38" i="66"/>
  <c r="G66" i="66"/>
  <c r="G86" i="66"/>
  <c r="G76" i="66"/>
  <c r="CW38" i="66"/>
  <c r="CQ38" i="66"/>
  <c r="G74" i="66"/>
  <c r="G83" i="66"/>
  <c r="G85" i="66"/>
  <c r="AW38" i="66"/>
  <c r="CP38" i="66"/>
  <c r="CF38" i="66"/>
  <c r="AY38" i="66"/>
  <c r="AF39" i="63"/>
  <c r="H32" i="23"/>
  <c r="J32" i="24" s="1"/>
  <c r="G87" i="73"/>
  <c r="G86" i="72"/>
  <c r="G87" i="71"/>
  <c r="G87" i="69"/>
  <c r="BA38" i="63"/>
  <c r="N38" i="63" s="1"/>
  <c r="G87" i="64"/>
  <c r="G86" i="63"/>
  <c r="CX39" i="73"/>
  <c r="P39" i="73" s="1"/>
  <c r="CX38" i="73"/>
  <c r="P38" i="73" s="1"/>
  <c r="Q37" i="64"/>
  <c r="CA37" i="72"/>
  <c r="O37" i="72" s="1"/>
  <c r="BB39" i="73"/>
  <c r="BA39" i="73"/>
  <c r="CA38" i="73"/>
  <c r="O38" i="73" s="1"/>
  <c r="CA39" i="73"/>
  <c r="Q37" i="73"/>
  <c r="BB38" i="73"/>
  <c r="BA38" i="73"/>
  <c r="N38" i="73" s="1"/>
  <c r="BB38" i="72"/>
  <c r="BA38" i="72"/>
  <c r="BB37" i="72"/>
  <c r="BA37" i="72"/>
  <c r="N37" i="72" s="1"/>
  <c r="CA38" i="72"/>
  <c r="BB38" i="71"/>
  <c r="BA38" i="71"/>
  <c r="N38" i="71" s="1"/>
  <c r="BB39" i="71"/>
  <c r="BA39" i="71"/>
  <c r="BB38" i="69"/>
  <c r="BA38" i="69"/>
  <c r="N38" i="69" s="1"/>
  <c r="BB39" i="69"/>
  <c r="BA39" i="69"/>
  <c r="N38" i="65"/>
  <c r="BA39" i="65"/>
  <c r="BB39" i="64"/>
  <c r="BA39" i="64"/>
  <c r="CA38" i="64"/>
  <c r="O38" i="64" s="1"/>
  <c r="BB38" i="64"/>
  <c r="BA38" i="64"/>
  <c r="N38" i="64" s="1"/>
  <c r="BB38" i="63"/>
  <c r="BB38" i="70" l="1"/>
  <c r="BA38" i="70"/>
  <c r="AJ32" i="23"/>
  <c r="O32" i="25"/>
  <c r="CA38" i="70"/>
  <c r="O38" i="70" s="1"/>
  <c r="BA38" i="67"/>
  <c r="BB38" i="67"/>
  <c r="G87" i="67"/>
  <c r="V33" i="23"/>
  <c r="AA33" i="24" s="1"/>
  <c r="CG39" i="67"/>
  <c r="D39" i="67"/>
  <c r="X33" i="23" s="1"/>
  <c r="AD33" i="24" s="1"/>
  <c r="BV39" i="67"/>
  <c r="CR39" i="67"/>
  <c r="CL39" i="67"/>
  <c r="BZ39" i="67"/>
  <c r="CM39" i="67"/>
  <c r="CU39" i="67"/>
  <c r="AW39" i="67"/>
  <c r="AT39" i="67"/>
  <c r="BL39" i="67"/>
  <c r="AX39" i="67"/>
  <c r="AM39" i="67"/>
  <c r="AZ39" i="67"/>
  <c r="AK39" i="67"/>
  <c r="AI39" i="67"/>
  <c r="BS39" i="67"/>
  <c r="CV39" i="67"/>
  <c r="BW39" i="67"/>
  <c r="AO39" i="67"/>
  <c r="CP39" i="67"/>
  <c r="AN39" i="67"/>
  <c r="AL39" i="67"/>
  <c r="CW39" i="67"/>
  <c r="BN39" i="67"/>
  <c r="BJ39" i="67"/>
  <c r="BT39" i="67"/>
  <c r="CN39" i="67"/>
  <c r="BO39" i="67"/>
  <c r="AG39" i="67"/>
  <c r="BQ39" i="67"/>
  <c r="BY39" i="67"/>
  <c r="AY39" i="67"/>
  <c r="AP39" i="67"/>
  <c r="AJ39" i="67"/>
  <c r="CI39" i="67"/>
  <c r="BU39" i="67"/>
  <c r="BX39" i="67"/>
  <c r="BG39" i="67"/>
  <c r="CT39" i="67"/>
  <c r="AS39" i="67"/>
  <c r="BK39" i="67"/>
  <c r="BI39" i="67"/>
  <c r="CD39" i="67"/>
  <c r="AU39" i="67"/>
  <c r="CS39" i="67"/>
  <c r="CQ39" i="67"/>
  <c r="BP39" i="67"/>
  <c r="AV39" i="67"/>
  <c r="CH39" i="67"/>
  <c r="AH39" i="67"/>
  <c r="CJ39" i="67"/>
  <c r="AQ39" i="67"/>
  <c r="AR39" i="67"/>
  <c r="BB38" i="66"/>
  <c r="BA38" i="66"/>
  <c r="R33" i="23"/>
  <c r="V33" i="24" s="1"/>
  <c r="CI39" i="66"/>
  <c r="BR39" i="66"/>
  <c r="BP39" i="66"/>
  <c r="BO39" i="66"/>
  <c r="AW39" i="66"/>
  <c r="AU39" i="66"/>
  <c r="AN39" i="66"/>
  <c r="AX39" i="66"/>
  <c r="AJ39" i="66"/>
  <c r="AM39" i="66"/>
  <c r="CU39" i="66"/>
  <c r="BL39" i="66"/>
  <c r="CE39" i="66"/>
  <c r="BX39" i="66"/>
  <c r="CG39" i="66"/>
  <c r="BJ39" i="66"/>
  <c r="BH39" i="66"/>
  <c r="BG39" i="66"/>
  <c r="AO39" i="66"/>
  <c r="BV39" i="66"/>
  <c r="CT39" i="66"/>
  <c r="BN39" i="66"/>
  <c r="AI39" i="66"/>
  <c r="CP39" i="66"/>
  <c r="AP39" i="66"/>
  <c r="BY39" i="66"/>
  <c r="BM39" i="66"/>
  <c r="CJ39" i="66"/>
  <c r="AT39" i="66"/>
  <c r="AZ39" i="66"/>
  <c r="AY39" i="66"/>
  <c r="AG39" i="66"/>
  <c r="AS39" i="66"/>
  <c r="CD39" i="66"/>
  <c r="AK39" i="66"/>
  <c r="BK39" i="66"/>
  <c r="CS39" i="66"/>
  <c r="CF39" i="66"/>
  <c r="CR39" i="66"/>
  <c r="CL39" i="66"/>
  <c r="AL39" i="66"/>
  <c r="AR39" i="66"/>
  <c r="AQ39" i="66"/>
  <c r="CO39" i="66"/>
  <c r="D39" i="66"/>
  <c r="T33" i="23" s="1"/>
  <c r="Y33" i="24" s="1"/>
  <c r="BQ39" i="66"/>
  <c r="CV39" i="66"/>
  <c r="BT39" i="66"/>
  <c r="CN39" i="66"/>
  <c r="AV39" i="66"/>
  <c r="CH39" i="66"/>
  <c r="AH39" i="66"/>
  <c r="BW39" i="66"/>
  <c r="CK39" i="66"/>
  <c r="CQ39" i="66"/>
  <c r="BU39" i="66"/>
  <c r="CM39" i="66"/>
  <c r="CW39" i="66"/>
  <c r="BI39" i="66"/>
  <c r="BZ39" i="66"/>
  <c r="BS39" i="66"/>
  <c r="G87" i="66"/>
  <c r="CA38" i="66"/>
  <c r="O38" i="66" s="1"/>
  <c r="P40" i="73"/>
  <c r="Q38" i="73"/>
  <c r="O39" i="73"/>
  <c r="O40" i="73" s="1"/>
  <c r="CA40" i="73"/>
  <c r="N39" i="73"/>
  <c r="BA40" i="73"/>
  <c r="O38" i="72"/>
  <c r="N38" i="72"/>
  <c r="BA39" i="72"/>
  <c r="N39" i="71"/>
  <c r="BA40" i="71"/>
  <c r="N39" i="69"/>
  <c r="BA40" i="69"/>
  <c r="N39" i="65"/>
  <c r="I46" i="65" s="1"/>
  <c r="N39" i="64"/>
  <c r="BA40" i="64"/>
  <c r="BA39" i="63"/>
  <c r="N38" i="70" l="1"/>
  <c r="N39" i="70" s="1"/>
  <c r="I46" i="70" s="1"/>
  <c r="BA39" i="70"/>
  <c r="BB39" i="67"/>
  <c r="BA39" i="67"/>
  <c r="N39" i="67" s="1"/>
  <c r="N38" i="67"/>
  <c r="CA39" i="66"/>
  <c r="O39" i="66" s="1"/>
  <c r="BB39" i="66"/>
  <c r="BA39" i="66"/>
  <c r="N39" i="66" s="1"/>
  <c r="N38" i="66"/>
  <c r="I50" i="65"/>
  <c r="E8" i="50" s="1"/>
  <c r="E33" i="50" s="1"/>
  <c r="D8" i="50"/>
  <c r="D33" i="50" s="1"/>
  <c r="I49" i="68"/>
  <c r="E11" i="50" s="1"/>
  <c r="E42" i="50" s="1"/>
  <c r="D11" i="50"/>
  <c r="D42" i="50" s="1"/>
  <c r="Q39" i="73"/>
  <c r="Q40" i="73" s="1"/>
  <c r="N40" i="73"/>
  <c r="N39" i="72"/>
  <c r="I46" i="72" s="1"/>
  <c r="N40" i="71"/>
  <c r="I47" i="71" s="1"/>
  <c r="N40" i="69"/>
  <c r="I47" i="69" s="1"/>
  <c r="N40" i="64"/>
  <c r="I47" i="64" s="1"/>
  <c r="N39" i="63"/>
  <c r="I46" i="63" s="1"/>
  <c r="N40" i="67" l="1"/>
  <c r="I47" i="67" s="1"/>
  <c r="I51" i="67" s="1"/>
  <c r="E10" i="50" s="1"/>
  <c r="E35" i="50" s="1"/>
  <c r="BA40" i="66"/>
  <c r="N40" i="66"/>
  <c r="I47" i="66" s="1"/>
  <c r="BA40" i="67"/>
  <c r="I50" i="70"/>
  <c r="E13" i="50" s="1"/>
  <c r="E44" i="50" s="1"/>
  <c r="D13" i="50"/>
  <c r="D44" i="50" s="1"/>
  <c r="I50" i="63"/>
  <c r="E6" i="50" s="1"/>
  <c r="E25" i="50" s="1"/>
  <c r="D6" i="50"/>
  <c r="D25" i="50" s="1"/>
  <c r="I51" i="69"/>
  <c r="E12" i="50" s="1"/>
  <c r="E43" i="50" s="1"/>
  <c r="D12" i="50"/>
  <c r="I51" i="64"/>
  <c r="E7" i="50" s="1"/>
  <c r="E26" i="50" s="1"/>
  <c r="D7" i="50"/>
  <c r="D26" i="50" s="1"/>
  <c r="I51" i="71"/>
  <c r="E14" i="50" s="1"/>
  <c r="E51" i="50" s="1"/>
  <c r="D14" i="50"/>
  <c r="D51" i="50" s="1"/>
  <c r="I50" i="72"/>
  <c r="E15" i="50" s="1"/>
  <c r="E52" i="50" s="1"/>
  <c r="D15" i="50"/>
  <c r="D52" i="50" s="1"/>
  <c r="I51" i="73"/>
  <c r="E16" i="50" s="1"/>
  <c r="E53" i="50" s="1"/>
  <c r="D16" i="50"/>
  <c r="D53" i="50" s="1"/>
  <c r="D75" i="41"/>
  <c r="AV35" i="23" s="1"/>
  <c r="D74" i="41"/>
  <c r="AM35" i="23" s="1"/>
  <c r="D73" i="41"/>
  <c r="D72" i="41"/>
  <c r="D71" i="41"/>
  <c r="D70" i="41"/>
  <c r="AE37" i="23" s="1"/>
  <c r="D69" i="41"/>
  <c r="D68" i="41"/>
  <c r="D67" i="41"/>
  <c r="D66" i="41"/>
  <c r="D65" i="41"/>
  <c r="Y40" i="41"/>
  <c r="Y11" i="41"/>
  <c r="Y13" i="41"/>
  <c r="Y14" i="41"/>
  <c r="Y15" i="41"/>
  <c r="Y19" i="41"/>
  <c r="Y20" i="41"/>
  <c r="Y21" i="41"/>
  <c r="Y24" i="41"/>
  <c r="Y26" i="41"/>
  <c r="Y28" i="41"/>
  <c r="Y29" i="41"/>
  <c r="Y30" i="41"/>
  <c r="Y31" i="41"/>
  <c r="Y32" i="41"/>
  <c r="Y34" i="41"/>
  <c r="Y35" i="41"/>
  <c r="Y36" i="41"/>
  <c r="Y37" i="41"/>
  <c r="Y39" i="41"/>
  <c r="D10" i="50" l="1"/>
  <c r="D35" i="50" s="1"/>
  <c r="I51" i="66"/>
  <c r="E9" i="50" s="1"/>
  <c r="E34" i="50" s="1"/>
  <c r="E36" i="50" s="1"/>
  <c r="D9" i="50"/>
  <c r="D34" i="50" s="1"/>
  <c r="D36" i="50" s="1"/>
  <c r="E45" i="50"/>
  <c r="U36" i="24"/>
  <c r="U37" i="25"/>
  <c r="Q39" i="24"/>
  <c r="Q40" i="25"/>
  <c r="U38" i="24"/>
  <c r="U39" i="25"/>
  <c r="D43" i="50"/>
  <c r="D45" i="50" s="1"/>
  <c r="D77" i="41"/>
  <c r="I35" i="1"/>
  <c r="W37" i="23"/>
  <c r="G13" i="1"/>
  <c r="I13" i="1" s="1"/>
  <c r="W35" i="23"/>
  <c r="D40" i="23" s="1"/>
  <c r="G14" i="1"/>
  <c r="I14" i="1" s="1"/>
  <c r="AE35" i="23"/>
  <c r="I37" i="1"/>
  <c r="O37" i="23"/>
  <c r="E54" i="50"/>
  <c r="D54" i="50"/>
  <c r="H46" i="41"/>
  <c r="I46" i="41" s="1"/>
  <c r="H45" i="41"/>
  <c r="I45" i="41" s="1"/>
  <c r="H48" i="41"/>
  <c r="A87" i="41"/>
  <c r="O35" i="23" s="1"/>
  <c r="I42" i="72" l="1"/>
  <c r="I45" i="72" s="1"/>
  <c r="C15" i="50" s="1"/>
  <c r="C52" i="50" s="1"/>
  <c r="I43" i="67"/>
  <c r="I46" i="67" s="1"/>
  <c r="C10" i="50" s="1"/>
  <c r="C35" i="50" s="1"/>
  <c r="I43" i="73"/>
  <c r="I46" i="73" s="1"/>
  <c r="C16" i="50" s="1"/>
  <c r="C53" i="50" s="1"/>
  <c r="I42" i="70"/>
  <c r="I45" i="70" s="1"/>
  <c r="C13" i="50" s="1"/>
  <c r="C44" i="50" s="1"/>
  <c r="I43" i="64"/>
  <c r="I46" i="64" s="1"/>
  <c r="C7" i="50" s="1"/>
  <c r="C26" i="50" s="1"/>
  <c r="I42" i="65"/>
  <c r="I45" i="65" s="1"/>
  <c r="C8" i="50" s="1"/>
  <c r="C33" i="50" s="1"/>
  <c r="I43" i="66"/>
  <c r="I46" i="66" s="1"/>
  <c r="C9" i="50" s="1"/>
  <c r="C34" i="50" s="1"/>
  <c r="I43" i="69"/>
  <c r="I46" i="69" s="1"/>
  <c r="C12" i="50" s="1"/>
  <c r="C43" i="50" s="1"/>
  <c r="I42" i="63"/>
  <c r="I45" i="63" s="1"/>
  <c r="C6" i="50" s="1"/>
  <c r="C25" i="50" s="1"/>
  <c r="I43" i="71"/>
  <c r="I46" i="71" s="1"/>
  <c r="C14" i="50" s="1"/>
  <c r="C51" i="50" s="1"/>
  <c r="I41" i="68"/>
  <c r="I44" i="68" s="1"/>
  <c r="C11" i="50" s="1"/>
  <c r="C42" i="50" s="1"/>
  <c r="D78" i="41"/>
  <c r="H44" i="41" s="1"/>
  <c r="B34" i="23" s="1"/>
  <c r="O38" i="24"/>
  <c r="O39" i="25"/>
  <c r="H37" i="24"/>
  <c r="H38" i="25"/>
  <c r="O37" i="24"/>
  <c r="O38" i="25"/>
  <c r="H38" i="24"/>
  <c r="H39" i="25"/>
  <c r="T37" i="24"/>
  <c r="T38" i="25"/>
  <c r="CB11" i="41"/>
  <c r="CC11" i="41"/>
  <c r="CB12" i="41"/>
  <c r="CC12" i="41"/>
  <c r="CB13" i="41"/>
  <c r="CC13" i="41"/>
  <c r="CB14" i="41"/>
  <c r="CC14" i="41"/>
  <c r="CB15" i="41"/>
  <c r="CC15" i="41"/>
  <c r="CB16" i="41"/>
  <c r="CC16" i="41"/>
  <c r="CB17" i="41"/>
  <c r="CC17" i="41"/>
  <c r="CB18" i="41"/>
  <c r="CC18" i="41"/>
  <c r="CB19" i="41"/>
  <c r="CC19" i="41"/>
  <c r="CB20" i="41"/>
  <c r="CC20" i="41"/>
  <c r="CB21" i="41"/>
  <c r="CC21" i="41"/>
  <c r="CB22" i="41"/>
  <c r="CC22" i="41"/>
  <c r="CB23" i="41"/>
  <c r="CC23" i="41"/>
  <c r="CB24" i="41"/>
  <c r="CC24" i="41"/>
  <c r="CB25" i="41"/>
  <c r="CC25" i="41"/>
  <c r="CB26" i="41"/>
  <c r="CC26" i="41"/>
  <c r="CB27" i="41"/>
  <c r="CC27" i="41"/>
  <c r="CB28" i="41"/>
  <c r="CC28" i="41"/>
  <c r="CB29" i="41"/>
  <c r="CC29" i="41"/>
  <c r="CB30" i="41"/>
  <c r="CC30" i="41"/>
  <c r="CB31" i="41"/>
  <c r="CC31" i="41"/>
  <c r="CB32" i="41"/>
  <c r="CC32" i="41"/>
  <c r="CB33" i="41"/>
  <c r="CC33" i="41"/>
  <c r="CB34" i="41"/>
  <c r="CC34" i="41"/>
  <c r="CB35" i="41"/>
  <c r="CC35" i="41"/>
  <c r="CB36" i="41"/>
  <c r="CC36" i="41"/>
  <c r="CB37" i="41"/>
  <c r="CC37" i="41"/>
  <c r="CB38" i="41"/>
  <c r="CC38" i="41"/>
  <c r="CB39" i="41"/>
  <c r="CC39" i="41"/>
  <c r="CB40" i="41"/>
  <c r="CC40" i="41"/>
  <c r="CC10" i="41"/>
  <c r="CB10" i="41"/>
  <c r="C34" i="24" l="1"/>
  <c r="D39" i="23"/>
  <c r="D41" i="23" s="1"/>
  <c r="C45" i="50"/>
  <c r="E47" i="50" s="1"/>
  <c r="E46" i="50"/>
  <c r="C54" i="50"/>
  <c r="C36" i="50"/>
  <c r="DG33" i="41"/>
  <c r="DG29" i="41"/>
  <c r="DG25" i="41"/>
  <c r="DG21" i="41"/>
  <c r="DG17" i="41"/>
  <c r="DG13" i="41"/>
  <c r="DD41" i="41"/>
  <c r="DG38" i="41"/>
  <c r="DG34" i="41"/>
  <c r="DG30" i="41"/>
  <c r="DG26" i="41"/>
  <c r="DG22" i="41"/>
  <c r="DG19" i="41"/>
  <c r="DG18" i="41"/>
  <c r="DG14" i="41"/>
  <c r="DG11" i="41"/>
  <c r="DG27" i="41"/>
  <c r="DG39" i="41"/>
  <c r="DG35" i="41"/>
  <c r="DG31" i="41"/>
  <c r="DG23" i="41"/>
  <c r="DG15" i="41"/>
  <c r="DG37" i="41"/>
  <c r="DG20" i="41"/>
  <c r="DG12" i="41"/>
  <c r="DG10" i="41"/>
  <c r="DG40" i="41"/>
  <c r="DG36" i="41"/>
  <c r="DG32" i="41"/>
  <c r="DG28" i="41"/>
  <c r="DG24" i="41"/>
  <c r="DG16" i="41"/>
  <c r="CZ41" i="41"/>
  <c r="DB41" i="41"/>
  <c r="DE41" i="41"/>
  <c r="DA41" i="41"/>
  <c r="DC41" i="41"/>
  <c r="CY41" i="41"/>
  <c r="DF41" i="41"/>
  <c r="BD11" i="41"/>
  <c r="BE11" i="41"/>
  <c r="BF11" i="41"/>
  <c r="BD12" i="41"/>
  <c r="BE12" i="41"/>
  <c r="BF12" i="41"/>
  <c r="BD13" i="41"/>
  <c r="BE13" i="41"/>
  <c r="BF13" i="41"/>
  <c r="BD14" i="41"/>
  <c r="BE14" i="41"/>
  <c r="BF14" i="41"/>
  <c r="BD15" i="41"/>
  <c r="BE15" i="41"/>
  <c r="BF15" i="41"/>
  <c r="BD16" i="41"/>
  <c r="BE16" i="41"/>
  <c r="BF16" i="41"/>
  <c r="BD17" i="41"/>
  <c r="BE17" i="41"/>
  <c r="BF17" i="41"/>
  <c r="BD18" i="41"/>
  <c r="BE18" i="41"/>
  <c r="BF18" i="41"/>
  <c r="BD19" i="41"/>
  <c r="BE19" i="41"/>
  <c r="BF19" i="41"/>
  <c r="BD20" i="41"/>
  <c r="BE20" i="41"/>
  <c r="BF20" i="41"/>
  <c r="BD21" i="41"/>
  <c r="BE21" i="41"/>
  <c r="BF21" i="41"/>
  <c r="BD22" i="41"/>
  <c r="BE22" i="41"/>
  <c r="BF22" i="41"/>
  <c r="BD23" i="41"/>
  <c r="BE23" i="41"/>
  <c r="BF23" i="41"/>
  <c r="BD24" i="41"/>
  <c r="BE24" i="41"/>
  <c r="BF24" i="41"/>
  <c r="BD25" i="41"/>
  <c r="BE25" i="41"/>
  <c r="BF25" i="41"/>
  <c r="BD26" i="41"/>
  <c r="BE26" i="41"/>
  <c r="BF26" i="41"/>
  <c r="BD27" i="41"/>
  <c r="BE27" i="41"/>
  <c r="BF27" i="41"/>
  <c r="BD28" i="41"/>
  <c r="BE28" i="41"/>
  <c r="BF28" i="41"/>
  <c r="BD29" i="41"/>
  <c r="BE29" i="41"/>
  <c r="BF29" i="41"/>
  <c r="BD30" i="41"/>
  <c r="BE30" i="41"/>
  <c r="BF30" i="41"/>
  <c r="BD31" i="41"/>
  <c r="BE31" i="41"/>
  <c r="BF31" i="41"/>
  <c r="BD32" i="41"/>
  <c r="BE32" i="41"/>
  <c r="BF32" i="41"/>
  <c r="BD33" i="41"/>
  <c r="BE33" i="41"/>
  <c r="BF33" i="41"/>
  <c r="BD34" i="41"/>
  <c r="BE34" i="41"/>
  <c r="BF34" i="41"/>
  <c r="BD35" i="41"/>
  <c r="BE35" i="41"/>
  <c r="BF35" i="41"/>
  <c r="BD36" i="41"/>
  <c r="BE36" i="41"/>
  <c r="BF36" i="41"/>
  <c r="BD37" i="41"/>
  <c r="BE37" i="41"/>
  <c r="BF37" i="41"/>
  <c r="BD38" i="41"/>
  <c r="BE38" i="41"/>
  <c r="BF38" i="41"/>
  <c r="BD39" i="41"/>
  <c r="BE39" i="41"/>
  <c r="BF39" i="41"/>
  <c r="BD40" i="41"/>
  <c r="BE40" i="41"/>
  <c r="BF40" i="41"/>
  <c r="BF10" i="41"/>
  <c r="BE10" i="41"/>
  <c r="BD10" i="41"/>
  <c r="BC10" i="41"/>
  <c r="BC11" i="41"/>
  <c r="BC12" i="41"/>
  <c r="BC13" i="41"/>
  <c r="BC14" i="41"/>
  <c r="BC15" i="41"/>
  <c r="BC16" i="41"/>
  <c r="BC17" i="41"/>
  <c r="BC18" i="41"/>
  <c r="BC19" i="41"/>
  <c r="BC20" i="41"/>
  <c r="BC21" i="41"/>
  <c r="BC22" i="41"/>
  <c r="BC23" i="41"/>
  <c r="BC24" i="41"/>
  <c r="BC25" i="41"/>
  <c r="BC26" i="41"/>
  <c r="BC27" i="41"/>
  <c r="BC28" i="41"/>
  <c r="BC29" i="41"/>
  <c r="BC30" i="41"/>
  <c r="BC31" i="41"/>
  <c r="BC32" i="41"/>
  <c r="BC33" i="41"/>
  <c r="BC34" i="41"/>
  <c r="BC35" i="41"/>
  <c r="BC36" i="41"/>
  <c r="BC37" i="41"/>
  <c r="BC38" i="41"/>
  <c r="BC39" i="41"/>
  <c r="BC40" i="41"/>
  <c r="AD11" i="41"/>
  <c r="AD12" i="41"/>
  <c r="AD13" i="41"/>
  <c r="AD14" i="41"/>
  <c r="AD15" i="41"/>
  <c r="AD16" i="41"/>
  <c r="AD17" i="41"/>
  <c r="AD18" i="41"/>
  <c r="AD19" i="41"/>
  <c r="AD20" i="41"/>
  <c r="AD21" i="41"/>
  <c r="AD22" i="41"/>
  <c r="AD23" i="41"/>
  <c r="AD24" i="41"/>
  <c r="AD25" i="41"/>
  <c r="AD26" i="41"/>
  <c r="AD27" i="41"/>
  <c r="AD28" i="41"/>
  <c r="AD29" i="41"/>
  <c r="AD30" i="41"/>
  <c r="AD31" i="41"/>
  <c r="AD32" i="41"/>
  <c r="AD33" i="41"/>
  <c r="AD34" i="41"/>
  <c r="AD35" i="41"/>
  <c r="AD36" i="41"/>
  <c r="AD37" i="41"/>
  <c r="AD38" i="41"/>
  <c r="AD39" i="41"/>
  <c r="AD40" i="41"/>
  <c r="AD10" i="41"/>
  <c r="AA11" i="41"/>
  <c r="AB11" i="41"/>
  <c r="AA12" i="41"/>
  <c r="AB12" i="41"/>
  <c r="AA13" i="41"/>
  <c r="AB13" i="41"/>
  <c r="AA14" i="41"/>
  <c r="AB14" i="41"/>
  <c r="AA15" i="41"/>
  <c r="AB15" i="41"/>
  <c r="AA16" i="41"/>
  <c r="AB16" i="41"/>
  <c r="AA17" i="41"/>
  <c r="AB17" i="41"/>
  <c r="AA18" i="41"/>
  <c r="AB18" i="41"/>
  <c r="AA19" i="41"/>
  <c r="AB19" i="41"/>
  <c r="AA20" i="41"/>
  <c r="AB20" i="41"/>
  <c r="AA21" i="41"/>
  <c r="AB21" i="41"/>
  <c r="AA22" i="41"/>
  <c r="AB22" i="41"/>
  <c r="AA23" i="41"/>
  <c r="AB23" i="41"/>
  <c r="AA24" i="41"/>
  <c r="AB24" i="41"/>
  <c r="AA25" i="41"/>
  <c r="AB25" i="41"/>
  <c r="AA26" i="41"/>
  <c r="AB26" i="41"/>
  <c r="AA27" i="41"/>
  <c r="AB27" i="41"/>
  <c r="AA28" i="41"/>
  <c r="AB28" i="41"/>
  <c r="AA29" i="41"/>
  <c r="AB29" i="41"/>
  <c r="AA30" i="41"/>
  <c r="AB30" i="41"/>
  <c r="AA31" i="41"/>
  <c r="AB31" i="41"/>
  <c r="AA32" i="41"/>
  <c r="AB32" i="41"/>
  <c r="AA33" i="41"/>
  <c r="AB33" i="41"/>
  <c r="AA34" i="41"/>
  <c r="AB34" i="41"/>
  <c r="AA35" i="41"/>
  <c r="AB35" i="41"/>
  <c r="AA36" i="41"/>
  <c r="AB36" i="41"/>
  <c r="AA37" i="41"/>
  <c r="AB37" i="41"/>
  <c r="AA38" i="41"/>
  <c r="AB38" i="41"/>
  <c r="AA39" i="41"/>
  <c r="AB39" i="41"/>
  <c r="AA40" i="41"/>
  <c r="AB40" i="41"/>
  <c r="AB10" i="41"/>
  <c r="AE11" i="41"/>
  <c r="AE12" i="41"/>
  <c r="AE13" i="41"/>
  <c r="AE14" i="41"/>
  <c r="AE15" i="41"/>
  <c r="AE16" i="41"/>
  <c r="AE17" i="41"/>
  <c r="AE18" i="41"/>
  <c r="AE19" i="41"/>
  <c r="AE20" i="41"/>
  <c r="AE21" i="41"/>
  <c r="AE22" i="41"/>
  <c r="AE23" i="41"/>
  <c r="AE24" i="41"/>
  <c r="AE25" i="41"/>
  <c r="AE26" i="41"/>
  <c r="AE27" i="41"/>
  <c r="AE28" i="41"/>
  <c r="AE29" i="41"/>
  <c r="AE30" i="41"/>
  <c r="AE31" i="41"/>
  <c r="AE32" i="41"/>
  <c r="AE33" i="41"/>
  <c r="AE34" i="41"/>
  <c r="AE35" i="41"/>
  <c r="AE36" i="41"/>
  <c r="AE37" i="41"/>
  <c r="AE38" i="41"/>
  <c r="AE39" i="41"/>
  <c r="AE40" i="41"/>
  <c r="AE10" i="41"/>
  <c r="AC10" i="41"/>
  <c r="AC11" i="41"/>
  <c r="AC12" i="41"/>
  <c r="AC13" i="41"/>
  <c r="AC14" i="41"/>
  <c r="AC15" i="41"/>
  <c r="AC16" i="41"/>
  <c r="AC17" i="41"/>
  <c r="AC18" i="41"/>
  <c r="AC19" i="41"/>
  <c r="AC20" i="41"/>
  <c r="AC21" i="41"/>
  <c r="AC22" i="41"/>
  <c r="AC23" i="41"/>
  <c r="AC24" i="41"/>
  <c r="AC25" i="41"/>
  <c r="AC26" i="41"/>
  <c r="AC27" i="41"/>
  <c r="AC28" i="41"/>
  <c r="AC29" i="41"/>
  <c r="AC30" i="41"/>
  <c r="AC31" i="41"/>
  <c r="AC32" i="41"/>
  <c r="AC33" i="41"/>
  <c r="AC34" i="41"/>
  <c r="AC35" i="41"/>
  <c r="AC36" i="41"/>
  <c r="AC37" i="41"/>
  <c r="AC38" i="41"/>
  <c r="AC39" i="41"/>
  <c r="AC40" i="41"/>
  <c r="E56" i="50" l="1"/>
  <c r="E55" i="50"/>
  <c r="E38" i="50"/>
  <c r="E37" i="50"/>
  <c r="BC41" i="41"/>
  <c r="AA41" i="41"/>
  <c r="BE41" i="41"/>
  <c r="AC41" i="41"/>
  <c r="J21" i="1" s="1"/>
  <c r="DG41" i="41"/>
  <c r="BD41" i="41"/>
  <c r="BF41" i="41"/>
  <c r="AD41" i="41"/>
  <c r="J29" i="1" l="1"/>
  <c r="J3" i="61"/>
  <c r="AN30" i="43" l="1"/>
  <c r="AD30" i="43"/>
  <c r="AD36" i="43" s="1"/>
  <c r="AD37" i="43" s="1"/>
  <c r="T30" i="43"/>
  <c r="J30" i="43"/>
  <c r="BR10" i="71"/>
  <c r="BR17" i="71"/>
  <c r="BR19" i="70"/>
  <c r="BR24" i="71"/>
  <c r="BR26" i="70"/>
  <c r="BR31" i="71"/>
  <c r="BR33" i="70"/>
  <c r="BQ9" i="71"/>
  <c r="BQ16" i="71"/>
  <c r="BQ23" i="71"/>
  <c r="BQ25" i="70"/>
  <c r="BQ30" i="71"/>
  <c r="BQ32" i="70"/>
  <c r="BL14" i="68"/>
  <c r="BL14" i="69"/>
  <c r="BL17" i="67"/>
  <c r="BL21" i="69"/>
  <c r="BL24" i="67"/>
  <c r="BL28" i="69"/>
  <c r="BL28" i="68"/>
  <c r="BL35" i="69"/>
  <c r="BL38" i="67"/>
  <c r="BM15" i="69"/>
  <c r="BM15" i="68"/>
  <c r="BM18" i="67"/>
  <c r="BM22" i="69"/>
  <c r="BM25" i="67"/>
  <c r="BM29" i="68"/>
  <c r="BM29" i="69"/>
  <c r="BM36" i="69"/>
  <c r="BM39" i="67"/>
  <c r="BS11" i="71"/>
  <c r="BS18" i="71"/>
  <c r="BS20" i="70"/>
  <c r="BS25" i="71"/>
  <c r="BS27" i="70"/>
  <c r="BS32" i="71"/>
  <c r="BS34" i="70"/>
  <c r="BS39" i="71"/>
  <c r="BU20" i="71"/>
  <c r="BU22" i="70"/>
  <c r="BU27" i="71"/>
  <c r="BU29" i="70"/>
  <c r="BU34" i="71"/>
  <c r="BU36" i="70"/>
  <c r="BT12" i="71"/>
  <c r="BT19" i="71"/>
  <c r="BT21" i="70"/>
  <c r="BT28" i="70"/>
  <c r="BT33" i="71"/>
  <c r="BT35" i="70"/>
  <c r="BP11" i="69"/>
  <c r="BP11" i="68"/>
  <c r="BP14" i="67"/>
  <c r="BP18" i="69"/>
  <c r="BP18" i="68"/>
  <c r="BP21" i="67"/>
  <c r="BP25" i="69"/>
  <c r="BP28" i="67"/>
  <c r="BP32" i="68"/>
  <c r="BP32" i="69"/>
  <c r="BP39" i="69"/>
  <c r="BO10" i="68"/>
  <c r="BO10" i="69"/>
  <c r="BO13" i="67"/>
  <c r="BO17" i="69"/>
  <c r="BO17" i="68"/>
  <c r="BO20" i="67"/>
  <c r="BO24" i="69"/>
  <c r="BO27" i="67"/>
  <c r="BO31" i="68"/>
  <c r="BO31" i="69"/>
  <c r="BO38" i="69"/>
  <c r="BN9" i="69"/>
  <c r="BN9" i="68"/>
  <c r="BN12" i="67"/>
  <c r="BN16" i="69"/>
  <c r="BN16" i="68"/>
  <c r="BN19" i="67"/>
  <c r="BN23" i="69"/>
  <c r="BN26" i="67"/>
  <c r="BN30" i="68"/>
  <c r="BN30" i="69"/>
  <c r="BN37" i="69"/>
  <c r="BH10" i="71"/>
  <c r="BH14" i="66"/>
  <c r="BH15" i="69"/>
  <c r="BH14" i="72"/>
  <c r="BH15" i="68"/>
  <c r="BH16" i="65"/>
  <c r="BH17" i="71"/>
  <c r="BH18" i="67"/>
  <c r="BH19" i="70"/>
  <c r="BH21" i="66"/>
  <c r="BH22" i="69"/>
  <c r="BH21" i="72"/>
  <c r="BH23" i="65"/>
  <c r="BH25" i="67"/>
  <c r="BH24" i="71"/>
  <c r="BH26" i="70"/>
  <c r="BH28" i="66"/>
  <c r="BH29" i="68"/>
  <c r="BH28" i="72"/>
  <c r="BH29" i="69"/>
  <c r="BH30" i="65"/>
  <c r="BH32" i="67"/>
  <c r="BH31" i="71"/>
  <c r="BH33" i="70"/>
  <c r="BH36" i="69"/>
  <c r="BH37" i="65"/>
  <c r="BH39" i="67"/>
  <c r="BH38" i="71"/>
  <c r="BK10" i="66"/>
  <c r="BK10" i="72"/>
  <c r="BK11" i="69"/>
  <c r="BK11" i="68"/>
  <c r="BK14" i="67"/>
  <c r="BK17" i="66"/>
  <c r="BK17" i="72"/>
  <c r="BK18" i="69"/>
  <c r="BK18" i="68"/>
  <c r="BK19" i="65"/>
  <c r="BK20" i="71"/>
  <c r="BK21" i="67"/>
  <c r="BK22" i="70"/>
  <c r="BK24" i="66"/>
  <c r="BK24" i="72"/>
  <c r="BK25" i="69"/>
  <c r="BK26" i="65"/>
  <c r="BK28" i="67"/>
  <c r="BK27" i="71"/>
  <c r="BK29" i="70"/>
  <c r="BK32" i="68"/>
  <c r="BK31" i="72"/>
  <c r="BK32" i="69"/>
  <c r="BK33" i="65"/>
  <c r="BK35" i="67"/>
  <c r="BK34" i="71"/>
  <c r="BK36" i="70"/>
  <c r="BK39" i="69"/>
  <c r="BG9" i="71"/>
  <c r="BG13" i="66"/>
  <c r="BG14" i="68"/>
  <c r="BG14" i="69"/>
  <c r="BG15" i="65"/>
  <c r="BG17" i="67"/>
  <c r="BG16" i="71"/>
  <c r="BG20" i="66"/>
  <c r="BG21" i="69"/>
  <c r="BG20" i="72"/>
  <c r="BG22" i="65"/>
  <c r="BG24" i="67"/>
  <c r="BG23" i="71"/>
  <c r="BG25" i="70"/>
  <c r="BG27" i="66"/>
  <c r="BG28" i="69"/>
  <c r="BG27" i="72"/>
  <c r="BG28" i="68"/>
  <c r="BG29" i="65"/>
  <c r="BG30" i="71"/>
  <c r="BG31" i="67"/>
  <c r="BG32" i="70"/>
  <c r="BG35" i="69"/>
  <c r="BG36" i="65"/>
  <c r="BG38" i="67"/>
  <c r="BJ9" i="72"/>
  <c r="BJ10" i="68"/>
  <c r="BJ9" i="66"/>
  <c r="BJ10" i="69"/>
  <c r="BJ13" i="67"/>
  <c r="BJ12" i="71"/>
  <c r="BJ16" i="66"/>
  <c r="BJ17" i="69"/>
  <c r="BJ17" i="68"/>
  <c r="BJ16" i="72"/>
  <c r="BJ18" i="65"/>
  <c r="BJ20" i="67"/>
  <c r="BJ19" i="71"/>
  <c r="BJ21" i="70"/>
  <c r="BJ23" i="66"/>
  <c r="BJ24" i="69"/>
  <c r="BJ23" i="72"/>
  <c r="BJ25" i="65"/>
  <c r="BJ27" i="67"/>
  <c r="BJ28" i="70"/>
  <c r="BJ30" i="72"/>
  <c r="BJ31" i="69"/>
  <c r="BJ31" i="68"/>
  <c r="BJ32" i="65"/>
  <c r="BJ33" i="71"/>
  <c r="BJ34" i="67"/>
  <c r="BJ35" i="70"/>
  <c r="BJ38" i="69"/>
  <c r="BI9" i="69"/>
  <c r="BI9" i="68"/>
  <c r="BI11" i="71"/>
  <c r="BI12" i="67"/>
  <c r="BI15" i="66"/>
  <c r="BI15" i="72"/>
  <c r="BI16" i="69"/>
  <c r="BI16" i="68"/>
  <c r="BI17" i="65"/>
  <c r="BI18" i="71"/>
  <c r="BI19" i="67"/>
  <c r="BI20" i="70"/>
  <c r="BI22" i="66"/>
  <c r="BI22" i="72"/>
  <c r="BI23" i="69"/>
  <c r="BI24" i="65"/>
  <c r="BI25" i="71"/>
  <c r="BI26" i="67"/>
  <c r="BI27" i="70"/>
  <c r="BI29" i="66"/>
  <c r="BI29" i="72"/>
  <c r="BI30" i="68"/>
  <c r="BI30" i="69"/>
  <c r="BI31" i="65"/>
  <c r="BI33" i="67"/>
  <c r="BI32" i="71"/>
  <c r="BI34" i="70"/>
  <c r="BI38" i="65"/>
  <c r="BI37" i="69"/>
  <c r="BI39" i="71"/>
  <c r="BI10" i="65"/>
  <c r="CA10" i="65" s="1"/>
  <c r="O10" i="65" s="1"/>
  <c r="BI13" i="64"/>
  <c r="CA13" i="64" s="1"/>
  <c r="O13" i="64" s="1"/>
  <c r="BI15" i="63"/>
  <c r="CA15" i="63" s="1"/>
  <c r="O15" i="63" s="1"/>
  <c r="BI20" i="64"/>
  <c r="CA20" i="64" s="1"/>
  <c r="O20" i="64" s="1"/>
  <c r="BI22" i="63"/>
  <c r="CA22" i="63" s="1"/>
  <c r="O22" i="63" s="1"/>
  <c r="BI29" i="63"/>
  <c r="CA29" i="63" s="1"/>
  <c r="O29" i="63" s="1"/>
  <c r="BI34" i="64"/>
  <c r="CA34" i="64" s="1"/>
  <c r="O34" i="64" s="1"/>
  <c r="BI36" i="63"/>
  <c r="CA36" i="63" s="1"/>
  <c r="O36" i="63" s="1"/>
  <c r="BN15" i="66"/>
  <c r="BN17" i="65"/>
  <c r="BN22" i="66"/>
  <c r="BN24" i="65"/>
  <c r="BN29" i="66"/>
  <c r="BN31" i="65"/>
  <c r="BN38" i="65"/>
  <c r="BL13" i="66"/>
  <c r="BL15" i="65"/>
  <c r="BL20" i="66"/>
  <c r="BL22" i="65"/>
  <c r="BL27" i="66"/>
  <c r="BL29" i="65"/>
  <c r="BL36" i="65"/>
  <c r="BM14" i="66"/>
  <c r="BM16" i="65"/>
  <c r="BM21" i="66"/>
  <c r="BM23" i="65"/>
  <c r="BM28" i="66"/>
  <c r="BM30" i="65"/>
  <c r="BM37" i="65"/>
  <c r="BT10" i="68"/>
  <c r="BT10" i="69"/>
  <c r="BT13" i="67"/>
  <c r="BT17" i="69"/>
  <c r="BT17" i="68"/>
  <c r="BT20" i="67"/>
  <c r="BT24" i="69"/>
  <c r="BT27" i="67"/>
  <c r="BT31" i="68"/>
  <c r="BT31" i="69"/>
  <c r="BT34" i="67"/>
  <c r="CA34" i="67" s="1"/>
  <c r="O34" i="67" s="1"/>
  <c r="BT38" i="69"/>
  <c r="BJ9" i="63"/>
  <c r="CA9" i="63" s="1"/>
  <c r="BJ11" i="65"/>
  <c r="CA11" i="65" s="1"/>
  <c r="O11" i="65" s="1"/>
  <c r="BJ14" i="64"/>
  <c r="CA14" i="64" s="1"/>
  <c r="O14" i="64" s="1"/>
  <c r="BJ16" i="63"/>
  <c r="CA16" i="63" s="1"/>
  <c r="O16" i="63" s="1"/>
  <c r="BJ21" i="64"/>
  <c r="CA21" i="64" s="1"/>
  <c r="O21" i="64" s="1"/>
  <c r="BJ23" i="63"/>
  <c r="CA23" i="63" s="1"/>
  <c r="O23" i="63" s="1"/>
  <c r="BJ30" i="63"/>
  <c r="CA30" i="63" s="1"/>
  <c r="O30" i="63" s="1"/>
  <c r="BJ35" i="64"/>
  <c r="CA35" i="64" s="1"/>
  <c r="O35" i="64" s="1"/>
  <c r="BJ37" i="63"/>
  <c r="CA37" i="63" s="1"/>
  <c r="O37" i="63" s="1"/>
  <c r="BS9" i="69"/>
  <c r="BS9" i="68"/>
  <c r="BS12" i="67"/>
  <c r="BS16" i="68"/>
  <c r="BS16" i="69"/>
  <c r="BS19" i="67"/>
  <c r="BS23" i="69"/>
  <c r="BS26" i="67"/>
  <c r="BS30" i="69"/>
  <c r="BS30" i="68"/>
  <c r="BS33" i="67"/>
  <c r="BS37" i="69"/>
  <c r="BH9" i="65"/>
  <c r="CA9" i="65" s="1"/>
  <c r="BH12" i="64"/>
  <c r="CA12" i="64" s="1"/>
  <c r="O12" i="64" s="1"/>
  <c r="BH14" i="63"/>
  <c r="CA14" i="63" s="1"/>
  <c r="O14" i="63" s="1"/>
  <c r="BH19" i="64"/>
  <c r="CA19" i="64" s="1"/>
  <c r="O19" i="64" s="1"/>
  <c r="BH21" i="63"/>
  <c r="CA21" i="63" s="1"/>
  <c r="O21" i="63" s="1"/>
  <c r="BH28" i="63"/>
  <c r="CA28" i="63" s="1"/>
  <c r="O28" i="63" s="1"/>
  <c r="BH33" i="64"/>
  <c r="CA33" i="64" s="1"/>
  <c r="O33" i="64" s="1"/>
  <c r="BH35" i="63"/>
  <c r="CA35" i="63" s="1"/>
  <c r="O35" i="63" s="1"/>
  <c r="BQ14" i="69"/>
  <c r="BQ14" i="68"/>
  <c r="BQ17" i="67"/>
  <c r="BQ21" i="69"/>
  <c r="BQ24" i="67"/>
  <c r="BQ28" i="68"/>
  <c r="BQ28" i="69"/>
  <c r="BQ31" i="67"/>
  <c r="BQ35" i="69"/>
  <c r="BQ38" i="67"/>
  <c r="BR39" i="67"/>
  <c r="BR15" i="68"/>
  <c r="BR15" i="69"/>
  <c r="BR18" i="67"/>
  <c r="BR22" i="69"/>
  <c r="BR25" i="67"/>
  <c r="BR29" i="69"/>
  <c r="BR29" i="68"/>
  <c r="BR32" i="67"/>
  <c r="BR36" i="69"/>
  <c r="BZ10" i="72"/>
  <c r="BZ17" i="72"/>
  <c r="BZ20" i="71"/>
  <c r="BZ22" i="70"/>
  <c r="BZ24" i="72"/>
  <c r="BZ29" i="70"/>
  <c r="BZ31" i="72"/>
  <c r="BZ34" i="71"/>
  <c r="BZ36" i="70"/>
  <c r="BO9" i="66"/>
  <c r="BO16" i="66"/>
  <c r="BO18" i="65"/>
  <c r="BO23" i="66"/>
  <c r="BO25" i="65"/>
  <c r="BO32" i="65"/>
  <c r="BK10" i="63"/>
  <c r="CA10" i="63" s="1"/>
  <c r="O10" i="63" s="1"/>
  <c r="BK12" i="65"/>
  <c r="CA12" i="65" s="1"/>
  <c r="O12" i="65" s="1"/>
  <c r="BK15" i="64"/>
  <c r="CA15" i="64" s="1"/>
  <c r="O15" i="64" s="1"/>
  <c r="BK17" i="63"/>
  <c r="CA17" i="63" s="1"/>
  <c r="O17" i="63" s="1"/>
  <c r="BK22" i="64"/>
  <c r="CA22" i="64" s="1"/>
  <c r="O22" i="64" s="1"/>
  <c r="BK24" i="63"/>
  <c r="CA24" i="63" s="1"/>
  <c r="O24" i="63" s="1"/>
  <c r="BK31" i="63"/>
  <c r="CA31" i="63" s="1"/>
  <c r="O31" i="63" s="1"/>
  <c r="BK36" i="64"/>
  <c r="CA36" i="64" s="1"/>
  <c r="O36" i="64" s="1"/>
  <c r="BK38" i="63"/>
  <c r="CA38" i="63" s="1"/>
  <c r="O38" i="63" s="1"/>
  <c r="BU11" i="68"/>
  <c r="BU11" i="69"/>
  <c r="BU14" i="67"/>
  <c r="BU18" i="69"/>
  <c r="BU18" i="68"/>
  <c r="BU21" i="67"/>
  <c r="BU25" i="69"/>
  <c r="BU28" i="67"/>
  <c r="BU32" i="69"/>
  <c r="BU32" i="68"/>
  <c r="BU35" i="67"/>
  <c r="BU39" i="69"/>
  <c r="BY9" i="72"/>
  <c r="BY12" i="71"/>
  <c r="BY16" i="72"/>
  <c r="BY19" i="71"/>
  <c r="BY21" i="70"/>
  <c r="BY23" i="72"/>
  <c r="BY28" i="70"/>
  <c r="BY30" i="72"/>
  <c r="BY33" i="71"/>
  <c r="BY35" i="70"/>
  <c r="BG11" i="64"/>
  <c r="CA11" i="64" s="1"/>
  <c r="BG13" i="63"/>
  <c r="CA13" i="63" s="1"/>
  <c r="O13" i="63" s="1"/>
  <c r="BG18" i="64"/>
  <c r="CA18" i="64" s="1"/>
  <c r="O18" i="64" s="1"/>
  <c r="BG20" i="63"/>
  <c r="CA20" i="63" s="1"/>
  <c r="O20" i="63" s="1"/>
  <c r="BG27" i="63"/>
  <c r="CA27" i="63" s="1"/>
  <c r="O27" i="63" s="1"/>
  <c r="BG32" i="64"/>
  <c r="CA32" i="64" s="1"/>
  <c r="O32" i="64" s="1"/>
  <c r="BG34" i="63"/>
  <c r="CA34" i="63" s="1"/>
  <c r="O34" i="63" s="1"/>
  <c r="BG39" i="64"/>
  <c r="CA39" i="64" s="1"/>
  <c r="O39" i="64" s="1"/>
  <c r="BV9" i="71"/>
  <c r="BV16" i="71"/>
  <c r="BV20" i="72"/>
  <c r="BV23" i="71"/>
  <c r="BV25" i="70"/>
  <c r="BV27" i="72"/>
  <c r="BV30" i="71"/>
  <c r="BV32" i="70"/>
  <c r="BX11" i="71"/>
  <c r="BX15" i="72"/>
  <c r="BX18" i="71"/>
  <c r="BX20" i="70"/>
  <c r="BX22" i="72"/>
  <c r="BX25" i="71"/>
  <c r="BX27" i="70"/>
  <c r="BX29" i="72"/>
  <c r="BX32" i="71"/>
  <c r="BX34" i="70"/>
  <c r="BX39" i="71"/>
  <c r="BP10" i="66"/>
  <c r="BP17" i="66"/>
  <c r="BP19" i="65"/>
  <c r="BP24" i="66"/>
  <c r="CA24" i="66" s="1"/>
  <c r="O24" i="66" s="1"/>
  <c r="BP26" i="65"/>
  <c r="BP33" i="65"/>
  <c r="BW10" i="71"/>
  <c r="BW14" i="72"/>
  <c r="BW17" i="71"/>
  <c r="BW19" i="70"/>
  <c r="BW21" i="72"/>
  <c r="BW24" i="71"/>
  <c r="BW26" i="70"/>
  <c r="BW28" i="72"/>
  <c r="BW31" i="71"/>
  <c r="BW33" i="70"/>
  <c r="BW38" i="71"/>
  <c r="F65" i="1"/>
  <c r="F64" i="1"/>
  <c r="F62" i="1"/>
  <c r="F63" i="1"/>
  <c r="F66" i="1"/>
  <c r="F54" i="1"/>
  <c r="F57" i="1"/>
  <c r="F56" i="1"/>
  <c r="F53" i="1"/>
  <c r="F55" i="1"/>
  <c r="F75" i="1"/>
  <c r="F74" i="1"/>
  <c r="F73" i="1"/>
  <c r="F72" i="1"/>
  <c r="F71" i="1"/>
  <c r="E36" i="43"/>
  <c r="AE41" i="41"/>
  <c r="J22" i="1" s="1"/>
  <c r="J39" i="43"/>
  <c r="J40" i="43" s="1"/>
  <c r="L39" i="43"/>
  <c r="L40" i="43" s="1"/>
  <c r="M39" i="43"/>
  <c r="M40" i="43" s="1"/>
  <c r="N39" i="43"/>
  <c r="N40" i="43" s="1"/>
  <c r="T39" i="43"/>
  <c r="T40" i="43" s="1"/>
  <c r="V39" i="43"/>
  <c r="V40" i="43" s="1"/>
  <c r="W39" i="43"/>
  <c r="W40" i="43" s="1"/>
  <c r="X39" i="43"/>
  <c r="X40" i="43" s="1"/>
  <c r="AD39" i="43"/>
  <c r="AD40" i="43" s="1"/>
  <c r="AF39" i="43"/>
  <c r="AF40" i="43" s="1"/>
  <c r="AG39" i="43"/>
  <c r="AG40" i="43" s="1"/>
  <c r="AH39" i="43"/>
  <c r="AH40" i="43" s="1"/>
  <c r="J36" i="43"/>
  <c r="J37" i="43" s="1"/>
  <c r="L36" i="43"/>
  <c r="L37" i="43" s="1"/>
  <c r="M36" i="43"/>
  <c r="M37" i="43" s="1"/>
  <c r="N36" i="43"/>
  <c r="N37" i="43" s="1"/>
  <c r="T36" i="43"/>
  <c r="T37" i="43" s="1"/>
  <c r="V36" i="43"/>
  <c r="V37" i="43" s="1"/>
  <c r="W36" i="43"/>
  <c r="W37" i="43" s="1"/>
  <c r="X36" i="43"/>
  <c r="X37" i="43" s="1"/>
  <c r="Y36" i="43"/>
  <c r="AF36" i="43"/>
  <c r="AF37" i="43" s="1"/>
  <c r="AG36" i="43"/>
  <c r="AG37" i="43" s="1"/>
  <c r="AH36" i="43"/>
  <c r="AH37" i="43" s="1"/>
  <c r="AM39" i="43"/>
  <c r="AL39" i="43"/>
  <c r="AK39" i="43"/>
  <c r="AJ39" i="43"/>
  <c r="AI39" i="43"/>
  <c r="AM36" i="43"/>
  <c r="AL36" i="43"/>
  <c r="AK36" i="43"/>
  <c r="AJ36" i="43"/>
  <c r="AI36" i="43"/>
  <c r="AC39" i="43"/>
  <c r="CR25" i="71" s="1"/>
  <c r="AB39" i="43"/>
  <c r="CQ24" i="71" s="1"/>
  <c r="AA39" i="43"/>
  <c r="CP23" i="71" s="1"/>
  <c r="Z39" i="43"/>
  <c r="CO22" i="71" s="1"/>
  <c r="Y39" i="43"/>
  <c r="AC36" i="43"/>
  <c r="AB36" i="43"/>
  <c r="AA36" i="43"/>
  <c r="Z36" i="43"/>
  <c r="S39" i="43"/>
  <c r="R39" i="43"/>
  <c r="Q39" i="43"/>
  <c r="P39" i="43"/>
  <c r="O39" i="43"/>
  <c r="S36" i="43"/>
  <c r="R36" i="43"/>
  <c r="Q36" i="43"/>
  <c r="P36" i="43"/>
  <c r="O36" i="43"/>
  <c r="F39" i="43"/>
  <c r="G39" i="43"/>
  <c r="CF28" i="66" s="1"/>
  <c r="H39" i="43"/>
  <c r="I39" i="43"/>
  <c r="CH34" i="70" s="1"/>
  <c r="E39" i="43"/>
  <c r="F45" i="1"/>
  <c r="F46" i="1"/>
  <c r="H36" i="43"/>
  <c r="I36" i="43"/>
  <c r="A32" i="43"/>
  <c r="K31" i="43"/>
  <c r="U31" i="43" s="1"/>
  <c r="AE31" i="43" s="1"/>
  <c r="K30" i="43"/>
  <c r="U30" i="43" s="1"/>
  <c r="AE30" i="43" s="1"/>
  <c r="A4" i="47"/>
  <c r="S9" i="43"/>
  <c r="AC9" i="43" s="1"/>
  <c r="AM9" i="43" s="1"/>
  <c r="R9" i="43"/>
  <c r="AB9" i="43" s="1"/>
  <c r="AL9" i="43" s="1"/>
  <c r="Q9" i="43"/>
  <c r="AA9" i="43" s="1"/>
  <c r="AK9" i="43" s="1"/>
  <c r="P9" i="43"/>
  <c r="Z9" i="43" s="1"/>
  <c r="AJ9" i="43" s="1"/>
  <c r="O9" i="43"/>
  <c r="Y9" i="43" s="1"/>
  <c r="AI9" i="43" s="1"/>
  <c r="N9" i="43"/>
  <c r="X9" i="43" s="1"/>
  <c r="AH9" i="43" s="1"/>
  <c r="M9" i="43"/>
  <c r="W9" i="43" s="1"/>
  <c r="AG9" i="43" s="1"/>
  <c r="L9" i="43"/>
  <c r="V9" i="43" s="1"/>
  <c r="AF9" i="43" s="1"/>
  <c r="K7" i="43"/>
  <c r="U7" i="43" s="1"/>
  <c r="AE7" i="43" s="1"/>
  <c r="CA32" i="65" l="1"/>
  <c r="O32" i="65" s="1"/>
  <c r="CA22" i="69"/>
  <c r="O22" i="69" s="1"/>
  <c r="CA28" i="72"/>
  <c r="O28" i="72" s="1"/>
  <c r="CA24" i="72"/>
  <c r="O24" i="72" s="1"/>
  <c r="CA14" i="68"/>
  <c r="O14" i="68" s="1"/>
  <c r="G54" i="1"/>
  <c r="CJ13" i="66"/>
  <c r="CJ14" i="68"/>
  <c r="CJ15" i="65"/>
  <c r="CJ17" i="67"/>
  <c r="CJ20" i="66"/>
  <c r="CJ22" i="65"/>
  <c r="CJ24" i="67"/>
  <c r="CJ27" i="66"/>
  <c r="CJ28" i="68"/>
  <c r="CJ29" i="65"/>
  <c r="CJ35" i="68"/>
  <c r="CJ36" i="65"/>
  <c r="CJ38" i="67"/>
  <c r="G62" i="1"/>
  <c r="H62" i="1" s="1"/>
  <c r="CN12" i="69"/>
  <c r="CN14" i="71"/>
  <c r="CN16" i="70"/>
  <c r="CN19" i="69"/>
  <c r="CN21" i="71"/>
  <c r="CN23" i="70"/>
  <c r="CN26" i="69"/>
  <c r="CN30" i="70"/>
  <c r="CN35" i="71"/>
  <c r="CN37" i="70"/>
  <c r="G55" i="1"/>
  <c r="CK9" i="65"/>
  <c r="CK14" i="66"/>
  <c r="CK15" i="68"/>
  <c r="CK16" i="65"/>
  <c r="CK18" i="67"/>
  <c r="CK21" i="66"/>
  <c r="CK23" i="65"/>
  <c r="CK25" i="67"/>
  <c r="CK29" i="68"/>
  <c r="CK30" i="65"/>
  <c r="CK36" i="68"/>
  <c r="CK39" i="67"/>
  <c r="CK37" i="65"/>
  <c r="G63" i="1"/>
  <c r="CO10" i="70"/>
  <c r="CO13" i="69"/>
  <c r="CO15" i="71"/>
  <c r="CO17" i="70"/>
  <c r="CO20" i="69"/>
  <c r="CO24" i="70"/>
  <c r="CO27" i="69"/>
  <c r="CO29" i="71"/>
  <c r="CO31" i="70"/>
  <c r="CO38" i="70"/>
  <c r="CO36" i="71"/>
  <c r="G53" i="1"/>
  <c r="CI12" i="66"/>
  <c r="CI13" i="68"/>
  <c r="CI14" i="65"/>
  <c r="CI16" i="67"/>
  <c r="CI19" i="66"/>
  <c r="CI21" i="65"/>
  <c r="CI23" i="67"/>
  <c r="CI26" i="66"/>
  <c r="CI27" i="68"/>
  <c r="CI28" i="65"/>
  <c r="CI34" i="68"/>
  <c r="CI35" i="65"/>
  <c r="CI37" i="67"/>
  <c r="G64" i="1"/>
  <c r="CP11" i="70"/>
  <c r="CP9" i="71"/>
  <c r="CP14" i="69"/>
  <c r="CP16" i="71"/>
  <c r="CP18" i="70"/>
  <c r="CP21" i="69"/>
  <c r="CP25" i="70"/>
  <c r="CP28" i="69"/>
  <c r="CP30" i="71"/>
  <c r="CP32" i="70"/>
  <c r="CP37" i="71"/>
  <c r="G71" i="1"/>
  <c r="CS11" i="72"/>
  <c r="CS25" i="72"/>
  <c r="G57" i="1"/>
  <c r="H57" i="1" s="1"/>
  <c r="CM10" i="68"/>
  <c r="CM11" i="65"/>
  <c r="CM13" i="67"/>
  <c r="CM16" i="66"/>
  <c r="CM17" i="68"/>
  <c r="CM18" i="65"/>
  <c r="CM20" i="67"/>
  <c r="CM23" i="66"/>
  <c r="CM25" i="65"/>
  <c r="CM27" i="67"/>
  <c r="CM31" i="68"/>
  <c r="CM32" i="65"/>
  <c r="G65" i="1"/>
  <c r="CQ10" i="71"/>
  <c r="CQ12" i="70"/>
  <c r="CQ15" i="69"/>
  <c r="CQ19" i="70"/>
  <c r="CQ22" i="69"/>
  <c r="CQ26" i="70"/>
  <c r="CQ29" i="69"/>
  <c r="CQ31" i="71"/>
  <c r="CQ33" i="70"/>
  <c r="CQ38" i="71"/>
  <c r="G72" i="1"/>
  <c r="H72" i="1" s="1"/>
  <c r="CT12" i="72"/>
  <c r="CT26" i="72"/>
  <c r="G66" i="1"/>
  <c r="H66" i="1" s="1"/>
  <c r="CR9" i="69"/>
  <c r="CR11" i="71"/>
  <c r="CR13" i="70"/>
  <c r="CR16" i="69"/>
  <c r="CR20" i="70"/>
  <c r="CR23" i="69"/>
  <c r="CR27" i="70"/>
  <c r="CR30" i="69"/>
  <c r="CR32" i="71"/>
  <c r="CR39" i="71"/>
  <c r="G73" i="1"/>
  <c r="H73" i="1" s="1"/>
  <c r="CU13" i="72"/>
  <c r="CU27" i="72"/>
  <c r="G74" i="1"/>
  <c r="H74" i="1" s="1"/>
  <c r="CV14" i="72"/>
  <c r="CV28" i="72"/>
  <c r="G56" i="1"/>
  <c r="CL9" i="68"/>
  <c r="CL12" i="67"/>
  <c r="CL10" i="65"/>
  <c r="CL15" i="66"/>
  <c r="CL16" i="68"/>
  <c r="CL17" i="65"/>
  <c r="CL19" i="67"/>
  <c r="CL22" i="66"/>
  <c r="CL24" i="65"/>
  <c r="CL26" i="67"/>
  <c r="CL30" i="68"/>
  <c r="CL31" i="65"/>
  <c r="CL37" i="68"/>
  <c r="CL38" i="65"/>
  <c r="G75" i="1"/>
  <c r="H75" i="1" s="1"/>
  <c r="CW15" i="72"/>
  <c r="CW29" i="72"/>
  <c r="CA32" i="70"/>
  <c r="O32" i="70" s="1"/>
  <c r="CA18" i="68"/>
  <c r="O18" i="68" s="1"/>
  <c r="CA10" i="71"/>
  <c r="O10" i="71" s="1"/>
  <c r="Z9" i="71" s="1"/>
  <c r="Z40" i="71" s="1"/>
  <c r="CA21" i="72"/>
  <c r="O21" i="72" s="1"/>
  <c r="CA31" i="72"/>
  <c r="O31" i="72" s="1"/>
  <c r="CA18" i="71"/>
  <c r="O18" i="71" s="1"/>
  <c r="CA30" i="71"/>
  <c r="O30" i="71" s="1"/>
  <c r="CA11" i="68"/>
  <c r="O11" i="68" s="1"/>
  <c r="CA15" i="65"/>
  <c r="O15" i="65" s="1"/>
  <c r="G46" i="1"/>
  <c r="H46" i="1" s="1"/>
  <c r="CF36" i="68"/>
  <c r="CF9" i="65"/>
  <c r="CF9" i="71"/>
  <c r="CF11" i="70"/>
  <c r="CF12" i="64"/>
  <c r="CF14" i="66"/>
  <c r="CF13" i="72"/>
  <c r="CF14" i="69"/>
  <c r="CF14" i="63"/>
  <c r="CF15" i="68"/>
  <c r="CF16" i="65"/>
  <c r="CF16" i="71"/>
  <c r="CF18" i="70"/>
  <c r="CF18" i="67"/>
  <c r="CF19" i="64"/>
  <c r="CF21" i="66"/>
  <c r="CF21" i="63"/>
  <c r="CF20" i="72"/>
  <c r="CF21" i="69"/>
  <c r="CF23" i="65"/>
  <c r="CF23" i="71"/>
  <c r="CF25" i="70"/>
  <c r="CF25" i="67"/>
  <c r="CF28" i="69"/>
  <c r="CF28" i="63"/>
  <c r="CF27" i="72"/>
  <c r="CF29" i="68"/>
  <c r="CF30" i="71"/>
  <c r="CF30" i="65"/>
  <c r="CF32" i="70"/>
  <c r="CF32" i="67"/>
  <c r="CF33" i="64"/>
  <c r="CF34" i="72"/>
  <c r="CF35" i="63"/>
  <c r="CF39" i="67"/>
  <c r="CF37" i="71"/>
  <c r="CF37" i="65"/>
  <c r="G45" i="1"/>
  <c r="CE35" i="68"/>
  <c r="CE10" i="70"/>
  <c r="CE11" i="64"/>
  <c r="CE13" i="66"/>
  <c r="CE13" i="63"/>
  <c r="CE12" i="72"/>
  <c r="CE13" i="69"/>
  <c r="CE14" i="68"/>
  <c r="CE15" i="71"/>
  <c r="CE15" i="65"/>
  <c r="CE17" i="70"/>
  <c r="CE17" i="67"/>
  <c r="CE18" i="64"/>
  <c r="CE20" i="66"/>
  <c r="CE20" i="69"/>
  <c r="CX20" i="69" s="1"/>
  <c r="P20" i="69" s="1"/>
  <c r="Q20" i="69" s="1"/>
  <c r="CE20" i="63"/>
  <c r="CE19" i="72"/>
  <c r="CX19" i="72" s="1"/>
  <c r="P19" i="72" s="1"/>
  <c r="Q19" i="72" s="1"/>
  <c r="CE22" i="65"/>
  <c r="CE22" i="71"/>
  <c r="CX22" i="71" s="1"/>
  <c r="P22" i="71" s="1"/>
  <c r="Q22" i="71" s="1"/>
  <c r="CE24" i="70"/>
  <c r="CE24" i="67"/>
  <c r="CE27" i="66"/>
  <c r="CE27" i="63"/>
  <c r="CE26" i="72"/>
  <c r="CE27" i="69"/>
  <c r="CX27" i="69" s="1"/>
  <c r="P27" i="69" s="1"/>
  <c r="Q27" i="69" s="1"/>
  <c r="CE28" i="68"/>
  <c r="CE29" i="71"/>
  <c r="CE29" i="65"/>
  <c r="CE31" i="67"/>
  <c r="CE31" i="70"/>
  <c r="CX31" i="70" s="1"/>
  <c r="P31" i="70" s="1"/>
  <c r="Q31" i="70" s="1"/>
  <c r="CE32" i="64"/>
  <c r="CE34" i="63"/>
  <c r="CE33" i="72"/>
  <c r="CX33" i="72" s="1"/>
  <c r="P33" i="72" s="1"/>
  <c r="Q33" i="72" s="1"/>
  <c r="CE36" i="65"/>
  <c r="CE36" i="71"/>
  <c r="CE38" i="70"/>
  <c r="CX38" i="70" s="1"/>
  <c r="P38" i="70" s="1"/>
  <c r="Q38" i="70" s="1"/>
  <c r="CE38" i="67"/>
  <c r="CE39" i="64"/>
  <c r="G44" i="1"/>
  <c r="CD10" i="64"/>
  <c r="CX10" i="64" s="1"/>
  <c r="P10" i="64" s="1"/>
  <c r="Q10" i="64" s="1"/>
  <c r="CD12" i="66"/>
  <c r="CD12" i="63"/>
  <c r="CX12" i="63" s="1"/>
  <c r="P12" i="63" s="1"/>
  <c r="Q12" i="63" s="1"/>
  <c r="CD12" i="69"/>
  <c r="CD11" i="72"/>
  <c r="CD13" i="68"/>
  <c r="CD14" i="71"/>
  <c r="CD14" i="65"/>
  <c r="CD16" i="67"/>
  <c r="CD16" i="70"/>
  <c r="CD17" i="64"/>
  <c r="CX17" i="64" s="1"/>
  <c r="P17" i="64" s="1"/>
  <c r="Q17" i="64" s="1"/>
  <c r="CD19" i="66"/>
  <c r="CX19" i="66" s="1"/>
  <c r="P19" i="66" s="1"/>
  <c r="Q19" i="66" s="1"/>
  <c r="CD19" i="63"/>
  <c r="CX19" i="63" s="1"/>
  <c r="P19" i="63" s="1"/>
  <c r="Q19" i="63" s="1"/>
  <c r="CD18" i="72"/>
  <c r="CX18" i="72" s="1"/>
  <c r="P18" i="72" s="1"/>
  <c r="Q18" i="72" s="1"/>
  <c r="CD19" i="69"/>
  <c r="CD21" i="65"/>
  <c r="CD21" i="71"/>
  <c r="CD23" i="67"/>
  <c r="CD23" i="70"/>
  <c r="CX23" i="70" s="1"/>
  <c r="P23" i="70" s="1"/>
  <c r="Q23" i="70" s="1"/>
  <c r="CD26" i="66"/>
  <c r="CD25" i="72"/>
  <c r="CD26" i="69"/>
  <c r="CD26" i="63"/>
  <c r="CX26" i="63" s="1"/>
  <c r="P26" i="63" s="1"/>
  <c r="Q26" i="63" s="1"/>
  <c r="CD27" i="68"/>
  <c r="CX27" i="68" s="1"/>
  <c r="P27" i="68" s="1"/>
  <c r="Q27" i="68" s="1"/>
  <c r="CD28" i="65"/>
  <c r="CX28" i="65" s="1"/>
  <c r="P28" i="65" s="1"/>
  <c r="Q28" i="65" s="1"/>
  <c r="CD30" i="70"/>
  <c r="CX30" i="70" s="1"/>
  <c r="P30" i="70" s="1"/>
  <c r="Q30" i="70" s="1"/>
  <c r="CD30" i="67"/>
  <c r="CX30" i="67" s="1"/>
  <c r="P30" i="67" s="1"/>
  <c r="Q30" i="67" s="1"/>
  <c r="CD31" i="64"/>
  <c r="CX31" i="64" s="1"/>
  <c r="P31" i="64" s="1"/>
  <c r="Q31" i="64" s="1"/>
  <c r="CD32" i="72"/>
  <c r="CX32" i="72" s="1"/>
  <c r="P32" i="72" s="1"/>
  <c r="Q32" i="72" s="1"/>
  <c r="CD33" i="63"/>
  <c r="CX33" i="63" s="1"/>
  <c r="P33" i="63" s="1"/>
  <c r="Q33" i="63" s="1"/>
  <c r="CD34" i="68"/>
  <c r="CX34" i="68" s="1"/>
  <c r="P34" i="68" s="1"/>
  <c r="Q34" i="68" s="1"/>
  <c r="CD35" i="65"/>
  <c r="CD35" i="71"/>
  <c r="CD37" i="70"/>
  <c r="CD37" i="67"/>
  <c r="CX37" i="67" s="1"/>
  <c r="P37" i="67" s="1"/>
  <c r="Q37" i="67" s="1"/>
  <c r="CD38" i="64"/>
  <c r="CX38" i="64" s="1"/>
  <c r="P38" i="64" s="1"/>
  <c r="Q38" i="64" s="1"/>
  <c r="G48" i="1"/>
  <c r="CH10" i="68"/>
  <c r="CH9" i="69"/>
  <c r="CH9" i="66"/>
  <c r="CH9" i="63"/>
  <c r="CH11" i="71"/>
  <c r="CH11" i="65"/>
  <c r="CH13" i="67"/>
  <c r="CH13" i="70"/>
  <c r="CH14" i="64"/>
  <c r="CH16" i="66"/>
  <c r="CH15" i="72"/>
  <c r="CH16" i="69"/>
  <c r="CH16" i="63"/>
  <c r="CH17" i="68"/>
  <c r="CH18" i="65"/>
  <c r="CH20" i="70"/>
  <c r="CH20" i="67"/>
  <c r="CH21" i="64"/>
  <c r="CH23" i="66"/>
  <c r="CH22" i="72"/>
  <c r="CH23" i="63"/>
  <c r="CH23" i="69"/>
  <c r="CH25" i="65"/>
  <c r="CH25" i="71"/>
  <c r="CH27" i="67"/>
  <c r="CH27" i="70"/>
  <c r="CH30" i="69"/>
  <c r="CH29" i="72"/>
  <c r="CH30" i="63"/>
  <c r="CH31" i="68"/>
  <c r="CH32" i="65"/>
  <c r="CH32" i="71"/>
  <c r="CH34" i="67"/>
  <c r="CH35" i="64"/>
  <c r="CH37" i="63"/>
  <c r="CH36" i="72"/>
  <c r="CH39" i="71"/>
  <c r="CA17" i="69"/>
  <c r="O17" i="69" s="1"/>
  <c r="G47" i="1"/>
  <c r="CG37" i="68"/>
  <c r="CX37" i="68" s="1"/>
  <c r="P37" i="68" s="1"/>
  <c r="Q37" i="68" s="1"/>
  <c r="CG10" i="71"/>
  <c r="CG9" i="68"/>
  <c r="CG12" i="67"/>
  <c r="CG12" i="70"/>
  <c r="CG10" i="65"/>
  <c r="CG13" i="64"/>
  <c r="CG15" i="66"/>
  <c r="CG14" i="72"/>
  <c r="CG15" i="63"/>
  <c r="CG15" i="69"/>
  <c r="CG16" i="68"/>
  <c r="CG17" i="65"/>
  <c r="CG19" i="70"/>
  <c r="CG19" i="67"/>
  <c r="CG20" i="64"/>
  <c r="CG22" i="66"/>
  <c r="CG22" i="69"/>
  <c r="CG22" i="63"/>
  <c r="CG21" i="72"/>
  <c r="CG24" i="65"/>
  <c r="CG24" i="71"/>
  <c r="CG26" i="67"/>
  <c r="CG26" i="70"/>
  <c r="CG29" i="69"/>
  <c r="CG28" i="72"/>
  <c r="CG29" i="63"/>
  <c r="CG30" i="68"/>
  <c r="CG31" i="71"/>
  <c r="CG31" i="65"/>
  <c r="CG33" i="70"/>
  <c r="CG33" i="67"/>
  <c r="CG34" i="64"/>
  <c r="CG36" i="63"/>
  <c r="CG35" i="72"/>
  <c r="CX35" i="72" s="1"/>
  <c r="P35" i="72" s="1"/>
  <c r="Q35" i="72" s="1"/>
  <c r="CG38" i="65"/>
  <c r="CG38" i="71"/>
  <c r="CA21" i="70"/>
  <c r="O21" i="70" s="1"/>
  <c r="CA21" i="67"/>
  <c r="O21" i="67" s="1"/>
  <c r="CA17" i="66"/>
  <c r="O17" i="66" s="1"/>
  <c r="CA18" i="69"/>
  <c r="O18" i="69" s="1"/>
  <c r="CA39" i="67"/>
  <c r="O39" i="67" s="1"/>
  <c r="CA20" i="72"/>
  <c r="O20" i="72" s="1"/>
  <c r="CA19" i="65"/>
  <c r="O19" i="65" s="1"/>
  <c r="CA20" i="67"/>
  <c r="O20" i="67" s="1"/>
  <c r="CA9" i="69"/>
  <c r="O9" i="69" s="1"/>
  <c r="CA16" i="72"/>
  <c r="O16" i="72" s="1"/>
  <c r="CA25" i="69"/>
  <c r="O25" i="69" s="1"/>
  <c r="CA15" i="68"/>
  <c r="O15" i="68" s="1"/>
  <c r="CA24" i="67"/>
  <c r="O24" i="67" s="1"/>
  <c r="CA33" i="65"/>
  <c r="O33" i="65" s="1"/>
  <c r="CA26" i="65"/>
  <c r="O26" i="65" s="1"/>
  <c r="CA35" i="70"/>
  <c r="O35" i="70" s="1"/>
  <c r="CA25" i="65"/>
  <c r="O25" i="65" s="1"/>
  <c r="CA28" i="66"/>
  <c r="O28" i="66" s="1"/>
  <c r="CA23" i="65"/>
  <c r="O23" i="65" s="1"/>
  <c r="CA38" i="67"/>
  <c r="O38" i="67" s="1"/>
  <c r="H55" i="1"/>
  <c r="H53" i="1"/>
  <c r="H56" i="1"/>
  <c r="H71" i="1"/>
  <c r="CA32" i="68"/>
  <c r="O32" i="68" s="1"/>
  <c r="CA32" i="67"/>
  <c r="O32" i="67" s="1"/>
  <c r="CA38" i="71"/>
  <c r="O38" i="71" s="1"/>
  <c r="H64" i="1"/>
  <c r="H65" i="1"/>
  <c r="CA20" i="70"/>
  <c r="O20" i="70" s="1"/>
  <c r="CA22" i="65"/>
  <c r="O22" i="65" s="1"/>
  <c r="CG10" i="68"/>
  <c r="CG9" i="72"/>
  <c r="CG10" i="69"/>
  <c r="CX10" i="69" s="1"/>
  <c r="P10" i="69" s="1"/>
  <c r="CG9" i="63"/>
  <c r="CG9" i="66"/>
  <c r="CG11" i="65"/>
  <c r="CG12" i="71"/>
  <c r="CG13" i="67"/>
  <c r="CG14" i="64"/>
  <c r="CG16" i="66"/>
  <c r="CG16" i="63"/>
  <c r="CG16" i="72"/>
  <c r="CG17" i="68"/>
  <c r="CG17" i="69"/>
  <c r="CX17" i="69" s="1"/>
  <c r="P17" i="69" s="1"/>
  <c r="CG18" i="65"/>
  <c r="CG20" i="67"/>
  <c r="CG19" i="71"/>
  <c r="CG21" i="70"/>
  <c r="CG21" i="64"/>
  <c r="CG23" i="66"/>
  <c r="CG23" i="63"/>
  <c r="CG24" i="69"/>
  <c r="CX24" i="69" s="1"/>
  <c r="P24" i="69" s="1"/>
  <c r="CG23" i="72"/>
  <c r="CG25" i="65"/>
  <c r="CG27" i="67"/>
  <c r="CG28" i="70"/>
  <c r="CG30" i="63"/>
  <c r="CG31" i="68"/>
  <c r="CG30" i="72"/>
  <c r="CG31" i="69"/>
  <c r="CX31" i="69" s="1"/>
  <c r="P31" i="69" s="1"/>
  <c r="CG32" i="65"/>
  <c r="CG33" i="71"/>
  <c r="CG34" i="67"/>
  <c r="CG35" i="70"/>
  <c r="CG35" i="64"/>
  <c r="CG37" i="63"/>
  <c r="CX37" i="63" s="1"/>
  <c r="P37" i="63" s="1"/>
  <c r="Q37" i="63" s="1"/>
  <c r="CG38" i="69"/>
  <c r="CX38" i="69" s="1"/>
  <c r="P38" i="69" s="1"/>
  <c r="CA22" i="72"/>
  <c r="O22" i="72" s="1"/>
  <c r="CA32" i="71"/>
  <c r="O32" i="71" s="1"/>
  <c r="CA28" i="69"/>
  <c r="O28" i="69" s="1"/>
  <c r="CA36" i="69"/>
  <c r="O36" i="69" s="1"/>
  <c r="CA23" i="69"/>
  <c r="O23" i="69" s="1"/>
  <c r="CA29" i="69"/>
  <c r="O29" i="69" s="1"/>
  <c r="CA23" i="66"/>
  <c r="O23" i="66" s="1"/>
  <c r="CA21" i="66"/>
  <c r="O21" i="66" s="1"/>
  <c r="CA16" i="66"/>
  <c r="O16" i="66" s="1"/>
  <c r="CA14" i="66"/>
  <c r="O14" i="66" s="1"/>
  <c r="CA20" i="66"/>
  <c r="O20" i="66" s="1"/>
  <c r="CA27" i="72"/>
  <c r="O27" i="72" s="1"/>
  <c r="CA11" i="71"/>
  <c r="O11" i="71" s="1"/>
  <c r="CA27" i="70"/>
  <c r="O27" i="70" s="1"/>
  <c r="CA29" i="70"/>
  <c r="O29" i="70" s="1"/>
  <c r="CA28" i="70"/>
  <c r="O28" i="70" s="1"/>
  <c r="CA22" i="70"/>
  <c r="O22" i="70" s="1"/>
  <c r="CA19" i="70"/>
  <c r="O19" i="70" s="1"/>
  <c r="CA38" i="69"/>
  <c r="O38" i="69" s="1"/>
  <c r="CA39" i="69"/>
  <c r="O39" i="69" s="1"/>
  <c r="CA21" i="69"/>
  <c r="O21" i="69" s="1"/>
  <c r="CA14" i="69"/>
  <c r="O14" i="69" s="1"/>
  <c r="CA31" i="68"/>
  <c r="O31" i="68" s="1"/>
  <c r="CA14" i="67"/>
  <c r="O14" i="67" s="1"/>
  <c r="CA27" i="71"/>
  <c r="O27" i="71" s="1"/>
  <c r="CA9" i="71"/>
  <c r="O9" i="71" s="1"/>
  <c r="CA12" i="71"/>
  <c r="O12" i="71" s="1"/>
  <c r="CN9" i="71"/>
  <c r="CN16" i="71"/>
  <c r="CN23" i="71"/>
  <c r="CN25" i="70"/>
  <c r="CN30" i="71"/>
  <c r="CN32" i="70"/>
  <c r="CO10" i="71"/>
  <c r="CO17" i="71"/>
  <c r="CO19" i="70"/>
  <c r="CO24" i="71"/>
  <c r="CO26" i="70"/>
  <c r="CO31" i="71"/>
  <c r="CO33" i="70"/>
  <c r="CO38" i="71"/>
  <c r="CA29" i="68"/>
  <c r="O29" i="68" s="1"/>
  <c r="CA35" i="69"/>
  <c r="O35" i="69" s="1"/>
  <c r="CA36" i="65"/>
  <c r="O36" i="65" s="1"/>
  <c r="CA26" i="67"/>
  <c r="O26" i="67" s="1"/>
  <c r="CA19" i="67"/>
  <c r="O19" i="67" s="1"/>
  <c r="CA31" i="69"/>
  <c r="O31" i="69" s="1"/>
  <c r="CA38" i="65"/>
  <c r="O38" i="65" s="1"/>
  <c r="CP11" i="71"/>
  <c r="CP18" i="71"/>
  <c r="CP20" i="70"/>
  <c r="CP25" i="71"/>
  <c r="CP27" i="70"/>
  <c r="CP32" i="71"/>
  <c r="CP34" i="70"/>
  <c r="CP39" i="71"/>
  <c r="CA39" i="71"/>
  <c r="O39" i="71" s="1"/>
  <c r="CR20" i="71"/>
  <c r="CR22" i="70"/>
  <c r="CR27" i="71"/>
  <c r="CR29" i="70"/>
  <c r="CR34" i="71"/>
  <c r="CR36" i="70"/>
  <c r="CA9" i="68"/>
  <c r="CA30" i="69"/>
  <c r="O30" i="69" s="1"/>
  <c r="CA10" i="72"/>
  <c r="O10" i="72" s="1"/>
  <c r="CA10" i="69"/>
  <c r="O10" i="69" s="1"/>
  <c r="CA10" i="68"/>
  <c r="O10" i="68" s="1"/>
  <c r="CA15" i="66"/>
  <c r="O15" i="66" s="1"/>
  <c r="CA29" i="72"/>
  <c r="O29" i="72" s="1"/>
  <c r="CA24" i="71"/>
  <c r="O24" i="71" s="1"/>
  <c r="CA17" i="71"/>
  <c r="O17" i="71" s="1"/>
  <c r="CA37" i="65"/>
  <c r="O37" i="65" s="1"/>
  <c r="CA31" i="71"/>
  <c r="O31" i="71" s="1"/>
  <c r="CA16" i="68"/>
  <c r="O16" i="68" s="1"/>
  <c r="CA25" i="70"/>
  <c r="O25" i="70" s="1"/>
  <c r="CA9" i="72"/>
  <c r="O9" i="72" s="1"/>
  <c r="CA33" i="71"/>
  <c r="O33" i="71" s="1"/>
  <c r="CA31" i="65"/>
  <c r="O31" i="65" s="1"/>
  <c r="CA22" i="66"/>
  <c r="O22" i="66" s="1"/>
  <c r="CA17" i="68"/>
  <c r="O17" i="68" s="1"/>
  <c r="CA13" i="66"/>
  <c r="O13" i="66" s="1"/>
  <c r="CA35" i="67"/>
  <c r="O35" i="67" s="1"/>
  <c r="CA18" i="65"/>
  <c r="O18" i="65" s="1"/>
  <c r="CA31" i="67"/>
  <c r="O31" i="67" s="1"/>
  <c r="CA29" i="66"/>
  <c r="O29" i="66" s="1"/>
  <c r="CA16" i="65"/>
  <c r="O16" i="65" s="1"/>
  <c r="CA25" i="67"/>
  <c r="O25" i="67" s="1"/>
  <c r="CA16" i="69"/>
  <c r="O16" i="69" s="1"/>
  <c r="CA10" i="66"/>
  <c r="O10" i="66" s="1"/>
  <c r="CA23" i="71"/>
  <c r="O23" i="71" s="1"/>
  <c r="CA23" i="72"/>
  <c r="O23" i="72" s="1"/>
  <c r="CA9" i="66"/>
  <c r="O9" i="66" s="1"/>
  <c r="CA17" i="72"/>
  <c r="O17" i="72" s="1"/>
  <c r="CA37" i="69"/>
  <c r="O37" i="69" s="1"/>
  <c r="CA14" i="72"/>
  <c r="O14" i="72" s="1"/>
  <c r="CA32" i="69"/>
  <c r="O32" i="69" s="1"/>
  <c r="CA12" i="67"/>
  <c r="O12" i="67" s="1"/>
  <c r="CA27" i="67"/>
  <c r="O27" i="67" s="1"/>
  <c r="CA29" i="65"/>
  <c r="O29" i="65" s="1"/>
  <c r="CA34" i="70"/>
  <c r="O34" i="70" s="1"/>
  <c r="CA15" i="72"/>
  <c r="O15" i="72" s="1"/>
  <c r="CA28" i="67"/>
  <c r="O28" i="67" s="1"/>
  <c r="CA34" i="71"/>
  <c r="O34" i="71" s="1"/>
  <c r="O36" i="68"/>
  <c r="CA15" i="69"/>
  <c r="O15" i="69" s="1"/>
  <c r="CA28" i="68"/>
  <c r="O28" i="68" s="1"/>
  <c r="CA30" i="68"/>
  <c r="O30" i="68" s="1"/>
  <c r="CA24" i="69"/>
  <c r="O24" i="69" s="1"/>
  <c r="CA30" i="65"/>
  <c r="O30" i="65" s="1"/>
  <c r="CA24" i="65"/>
  <c r="O24" i="65" s="1"/>
  <c r="CA17" i="67"/>
  <c r="O17" i="67" s="1"/>
  <c r="CA26" i="70"/>
  <c r="O26" i="70" s="1"/>
  <c r="CA17" i="65"/>
  <c r="O17" i="65" s="1"/>
  <c r="CD9" i="71"/>
  <c r="CD13" i="66"/>
  <c r="CD14" i="68"/>
  <c r="CD14" i="69"/>
  <c r="CD15" i="65"/>
  <c r="CD17" i="67"/>
  <c r="CD16" i="71"/>
  <c r="CD20" i="66"/>
  <c r="CD20" i="72"/>
  <c r="CD21" i="69"/>
  <c r="CD22" i="65"/>
  <c r="CD23" i="71"/>
  <c r="CD24" i="67"/>
  <c r="CD25" i="70"/>
  <c r="CD27" i="66"/>
  <c r="CD27" i="72"/>
  <c r="CD28" i="69"/>
  <c r="CD28" i="68"/>
  <c r="CD29" i="65"/>
  <c r="CD30" i="71"/>
  <c r="CD31" i="67"/>
  <c r="CD32" i="70"/>
  <c r="CD35" i="69"/>
  <c r="CD36" i="65"/>
  <c r="CD38" i="67"/>
  <c r="CH10" i="66"/>
  <c r="CH11" i="68"/>
  <c r="CH11" i="69"/>
  <c r="CH10" i="72"/>
  <c r="CH14" i="67"/>
  <c r="CH17" i="66"/>
  <c r="CH18" i="68"/>
  <c r="CH17" i="72"/>
  <c r="CH18" i="69"/>
  <c r="CH19" i="65"/>
  <c r="CX19" i="65" s="1"/>
  <c r="P19" i="65" s="1"/>
  <c r="CH20" i="71"/>
  <c r="CH21" i="67"/>
  <c r="CH22" i="70"/>
  <c r="CH24" i="66"/>
  <c r="CH25" i="69"/>
  <c r="CH24" i="72"/>
  <c r="CH26" i="65"/>
  <c r="CX26" i="65" s="1"/>
  <c r="P26" i="65" s="1"/>
  <c r="CH27" i="71"/>
  <c r="CH28" i="67"/>
  <c r="CH29" i="70"/>
  <c r="CH31" i="72"/>
  <c r="CH32" i="69"/>
  <c r="CH32" i="68"/>
  <c r="CH33" i="65"/>
  <c r="CX33" i="65" s="1"/>
  <c r="P33" i="65" s="1"/>
  <c r="CH35" i="67"/>
  <c r="CH34" i="71"/>
  <c r="CH36" i="70"/>
  <c r="CH39" i="69"/>
  <c r="CX36" i="72"/>
  <c r="P36" i="72" s="1"/>
  <c r="Q36" i="72" s="1"/>
  <c r="CX38" i="72"/>
  <c r="P38" i="72" s="1"/>
  <c r="Q38" i="72" s="1"/>
  <c r="CX34" i="72"/>
  <c r="P34" i="72" s="1"/>
  <c r="Q34" i="72" s="1"/>
  <c r="CX37" i="72"/>
  <c r="P37" i="72" s="1"/>
  <c r="Q37" i="72" s="1"/>
  <c r="CX31" i="66"/>
  <c r="P31" i="66" s="1"/>
  <c r="Q31" i="66" s="1"/>
  <c r="CX38" i="66"/>
  <c r="P38" i="66" s="1"/>
  <c r="Q38" i="66" s="1"/>
  <c r="CX34" i="66"/>
  <c r="P34" i="66" s="1"/>
  <c r="Q34" i="66" s="1"/>
  <c r="CX11" i="66"/>
  <c r="P11" i="66" s="1"/>
  <c r="Q11" i="66" s="1"/>
  <c r="CX25" i="66"/>
  <c r="P25" i="66" s="1"/>
  <c r="Q25" i="66" s="1"/>
  <c r="CX39" i="66"/>
  <c r="P39" i="66" s="1"/>
  <c r="Q39" i="66" s="1"/>
  <c r="CX36" i="66"/>
  <c r="P36" i="66" s="1"/>
  <c r="Q36" i="66" s="1"/>
  <c r="CX18" i="66"/>
  <c r="P18" i="66" s="1"/>
  <c r="Q18" i="66" s="1"/>
  <c r="CX37" i="66"/>
  <c r="P37" i="66" s="1"/>
  <c r="Q37" i="66" s="1"/>
  <c r="CX35" i="66"/>
  <c r="P35" i="66" s="1"/>
  <c r="Q35" i="66" s="1"/>
  <c r="CX30" i="66"/>
  <c r="P30" i="66" s="1"/>
  <c r="Q30" i="66" s="1"/>
  <c r="CX32" i="66"/>
  <c r="P32" i="66" s="1"/>
  <c r="Q32" i="66" s="1"/>
  <c r="CX33" i="66"/>
  <c r="P33" i="66" s="1"/>
  <c r="Q33" i="66" s="1"/>
  <c r="CA25" i="71"/>
  <c r="O25" i="71" s="1"/>
  <c r="CA30" i="72"/>
  <c r="O30" i="72" s="1"/>
  <c r="O35" i="68"/>
  <c r="CA13" i="67"/>
  <c r="O13" i="67" s="1"/>
  <c r="CF9" i="69"/>
  <c r="CF9" i="68"/>
  <c r="CF11" i="71"/>
  <c r="CF12" i="67"/>
  <c r="CF15" i="66"/>
  <c r="CF16" i="68"/>
  <c r="CF15" i="72"/>
  <c r="CF16" i="69"/>
  <c r="CF17" i="65"/>
  <c r="CF19" i="67"/>
  <c r="CF18" i="71"/>
  <c r="CF20" i="70"/>
  <c r="CF22" i="66"/>
  <c r="CF23" i="69"/>
  <c r="CF22" i="72"/>
  <c r="CF24" i="65"/>
  <c r="CF26" i="67"/>
  <c r="CF25" i="71"/>
  <c r="CF27" i="70"/>
  <c r="CF29" i="66"/>
  <c r="CF30" i="68"/>
  <c r="CF30" i="69"/>
  <c r="CF29" i="72"/>
  <c r="CF31" i="65"/>
  <c r="CF32" i="71"/>
  <c r="CF33" i="67"/>
  <c r="CF34" i="70"/>
  <c r="CF37" i="69"/>
  <c r="CF38" i="65"/>
  <c r="CF39" i="71"/>
  <c r="CA20" i="71"/>
  <c r="O20" i="71" s="1"/>
  <c r="CE10" i="71"/>
  <c r="CE14" i="66"/>
  <c r="CE14" i="72"/>
  <c r="CE15" i="68"/>
  <c r="CE15" i="69"/>
  <c r="CE16" i="65"/>
  <c r="CE17" i="71"/>
  <c r="CE18" i="67"/>
  <c r="CE19" i="70"/>
  <c r="CE21" i="66"/>
  <c r="CE22" i="69"/>
  <c r="CE21" i="72"/>
  <c r="CE23" i="65"/>
  <c r="CE25" i="67"/>
  <c r="CE24" i="71"/>
  <c r="CE26" i="70"/>
  <c r="CE28" i="66"/>
  <c r="CE29" i="68"/>
  <c r="CE29" i="69"/>
  <c r="CE28" i="72"/>
  <c r="CE30" i="65"/>
  <c r="CX30" i="65" s="1"/>
  <c r="P30" i="65" s="1"/>
  <c r="CE31" i="71"/>
  <c r="CE32" i="67"/>
  <c r="CE33" i="70"/>
  <c r="CE36" i="69"/>
  <c r="CE39" i="67"/>
  <c r="CE37" i="65"/>
  <c r="CX37" i="65" s="1"/>
  <c r="P37" i="65" s="1"/>
  <c r="CE38" i="71"/>
  <c r="CA11" i="69"/>
  <c r="O11" i="69" s="1"/>
  <c r="CA33" i="70"/>
  <c r="O33" i="70" s="1"/>
  <c r="CA36" i="70"/>
  <c r="O36" i="70" s="1"/>
  <c r="CA18" i="67"/>
  <c r="O18" i="67" s="1"/>
  <c r="CA33" i="67"/>
  <c r="O33" i="67" s="1"/>
  <c r="CA16" i="71"/>
  <c r="O16" i="71" s="1"/>
  <c r="CA19" i="71"/>
  <c r="O19" i="71" s="1"/>
  <c r="CA27" i="66"/>
  <c r="O27" i="66" s="1"/>
  <c r="CA40" i="64"/>
  <c r="O9" i="65"/>
  <c r="O11" i="64"/>
  <c r="O9" i="63"/>
  <c r="CA39" i="63"/>
  <c r="CR11" i="69"/>
  <c r="CR11" i="68"/>
  <c r="CR14" i="67"/>
  <c r="CR18" i="69"/>
  <c r="CR18" i="68"/>
  <c r="CR21" i="67"/>
  <c r="CR25" i="69"/>
  <c r="CR28" i="67"/>
  <c r="CR32" i="68"/>
  <c r="CR32" i="69"/>
  <c r="CR35" i="67"/>
  <c r="CR39" i="69"/>
  <c r="CU11" i="71"/>
  <c r="CU15" i="72"/>
  <c r="CU18" i="71"/>
  <c r="CU20" i="70"/>
  <c r="CU22" i="72"/>
  <c r="CU25" i="71"/>
  <c r="CU27" i="70"/>
  <c r="CU29" i="72"/>
  <c r="CU32" i="71"/>
  <c r="CU34" i="70"/>
  <c r="CU39" i="71"/>
  <c r="CD11" i="64"/>
  <c r="CD13" i="63"/>
  <c r="CD18" i="64"/>
  <c r="CD20" i="63"/>
  <c r="CD27" i="63"/>
  <c r="CD32" i="64"/>
  <c r="CX32" i="64" s="1"/>
  <c r="P32" i="64" s="1"/>
  <c r="Q32" i="64" s="1"/>
  <c r="CD34" i="63"/>
  <c r="CD39" i="64"/>
  <c r="CV9" i="72"/>
  <c r="CV12" i="71"/>
  <c r="CV16" i="72"/>
  <c r="CV19" i="71"/>
  <c r="CV21" i="70"/>
  <c r="CV23" i="72"/>
  <c r="CV28" i="70"/>
  <c r="CV30" i="72"/>
  <c r="CV33" i="71"/>
  <c r="CV35" i="70"/>
  <c r="CH10" i="63"/>
  <c r="CX10" i="63" s="1"/>
  <c r="P10" i="63" s="1"/>
  <c r="Q10" i="63" s="1"/>
  <c r="CH12" i="65"/>
  <c r="CX12" i="65" s="1"/>
  <c r="P12" i="65" s="1"/>
  <c r="Q12" i="65" s="1"/>
  <c r="CH15" i="64"/>
  <c r="CX15" i="64" s="1"/>
  <c r="P15" i="64" s="1"/>
  <c r="Q15" i="64" s="1"/>
  <c r="CH17" i="63"/>
  <c r="CH22" i="64"/>
  <c r="CX22" i="64" s="1"/>
  <c r="P22" i="64" s="1"/>
  <c r="Q22" i="64" s="1"/>
  <c r="CH24" i="63"/>
  <c r="CH31" i="63"/>
  <c r="CH36" i="64"/>
  <c r="CX36" i="64" s="1"/>
  <c r="P36" i="64" s="1"/>
  <c r="Q36" i="64" s="1"/>
  <c r="CH38" i="63"/>
  <c r="CX38" i="63" s="1"/>
  <c r="P38" i="63" s="1"/>
  <c r="Q38" i="63" s="1"/>
  <c r="CW10" i="72"/>
  <c r="CW17" i="72"/>
  <c r="CW20" i="71"/>
  <c r="CW22" i="70"/>
  <c r="CW24" i="72"/>
  <c r="CW29" i="70"/>
  <c r="CW31" i="72"/>
  <c r="CW34" i="71"/>
  <c r="CW36" i="70"/>
  <c r="CX25" i="63"/>
  <c r="P25" i="63" s="1"/>
  <c r="Q25" i="63" s="1"/>
  <c r="CX18" i="63"/>
  <c r="P18" i="63" s="1"/>
  <c r="Q18" i="63" s="1"/>
  <c r="CX11" i="63"/>
  <c r="P11" i="63" s="1"/>
  <c r="Q11" i="63" s="1"/>
  <c r="CX32" i="63"/>
  <c r="P32" i="63" s="1"/>
  <c r="Q32" i="63" s="1"/>
  <c r="CF10" i="65"/>
  <c r="CF13" i="64"/>
  <c r="CF15" i="63"/>
  <c r="CF20" i="64"/>
  <c r="CF22" i="63"/>
  <c r="CF29" i="63"/>
  <c r="CF34" i="64"/>
  <c r="CF36" i="63"/>
  <c r="CN14" i="69"/>
  <c r="CN14" i="68"/>
  <c r="CN17" i="67"/>
  <c r="CN21" i="69"/>
  <c r="CN24" i="67"/>
  <c r="CN28" i="69"/>
  <c r="CN28" i="68"/>
  <c r="CN31" i="67"/>
  <c r="CN35" i="69"/>
  <c r="CN38" i="67"/>
  <c r="CE9" i="65"/>
  <c r="CE12" i="64"/>
  <c r="CX12" i="64" s="1"/>
  <c r="P12" i="64" s="1"/>
  <c r="Q12" i="64" s="1"/>
  <c r="CE14" i="63"/>
  <c r="CE19" i="64"/>
  <c r="CE21" i="63"/>
  <c r="CE28" i="63"/>
  <c r="CE33" i="64"/>
  <c r="CE35" i="63"/>
  <c r="CO15" i="69"/>
  <c r="CO15" i="68"/>
  <c r="CO18" i="67"/>
  <c r="CO22" i="69"/>
  <c r="CO25" i="67"/>
  <c r="CO29" i="68"/>
  <c r="CO29" i="69"/>
  <c r="CO32" i="67"/>
  <c r="CO36" i="69"/>
  <c r="CO39" i="67"/>
  <c r="CP9" i="69"/>
  <c r="CP9" i="68"/>
  <c r="CP12" i="67"/>
  <c r="CP16" i="69"/>
  <c r="CP16" i="68"/>
  <c r="CP19" i="67"/>
  <c r="CP23" i="69"/>
  <c r="CP26" i="67"/>
  <c r="CP30" i="69"/>
  <c r="CP30" i="68"/>
  <c r="CP33" i="67"/>
  <c r="CP37" i="69"/>
  <c r="CS9" i="71"/>
  <c r="CS16" i="71"/>
  <c r="CS20" i="72"/>
  <c r="CS23" i="71"/>
  <c r="CS25" i="70"/>
  <c r="CS27" i="72"/>
  <c r="CS30" i="71"/>
  <c r="CS32" i="70"/>
  <c r="CT10" i="71"/>
  <c r="CT14" i="72"/>
  <c r="CT17" i="71"/>
  <c r="CT19" i="70"/>
  <c r="CT21" i="72"/>
  <c r="CT24" i="71"/>
  <c r="CT26" i="70"/>
  <c r="CT28" i="72"/>
  <c r="CT31" i="71"/>
  <c r="CT33" i="70"/>
  <c r="CT38" i="71"/>
  <c r="A4" i="46"/>
  <c r="A4" i="49"/>
  <c r="B4" i="47"/>
  <c r="B4" i="48"/>
  <c r="A4" i="48"/>
  <c r="F5" i="50"/>
  <c r="F24" i="50" s="1"/>
  <c r="F27" i="50" s="1"/>
  <c r="H27" i="50" s="1"/>
  <c r="H45" i="1"/>
  <c r="F36" i="43"/>
  <c r="F44" i="1"/>
  <c r="F48" i="1"/>
  <c r="F47" i="1"/>
  <c r="AN39" i="43"/>
  <c r="G36" i="43"/>
  <c r="CX12" i="72" l="1"/>
  <c r="P12" i="72" s="1"/>
  <c r="Q12" i="72" s="1"/>
  <c r="CX23" i="65"/>
  <c r="P23" i="65" s="1"/>
  <c r="CX21" i="65"/>
  <c r="P21" i="65" s="1"/>
  <c r="Q21" i="65" s="1"/>
  <c r="CX14" i="65"/>
  <c r="P14" i="65" s="1"/>
  <c r="Q14" i="65" s="1"/>
  <c r="CX16" i="70"/>
  <c r="P16" i="70" s="1"/>
  <c r="Q16" i="70" s="1"/>
  <c r="CX13" i="69"/>
  <c r="P13" i="69" s="1"/>
  <c r="Q13" i="69" s="1"/>
  <c r="CX14" i="71"/>
  <c r="P14" i="71" s="1"/>
  <c r="Q14" i="71" s="1"/>
  <c r="CX10" i="70"/>
  <c r="P10" i="70" s="1"/>
  <c r="Q10" i="70" s="1"/>
  <c r="CX37" i="70"/>
  <c r="P37" i="70" s="1"/>
  <c r="Q37" i="70" s="1"/>
  <c r="CX18" i="64"/>
  <c r="P18" i="64" s="1"/>
  <c r="Q18" i="64" s="1"/>
  <c r="CX35" i="64"/>
  <c r="P35" i="64" s="1"/>
  <c r="Q35" i="64" s="1"/>
  <c r="CX39" i="64"/>
  <c r="P39" i="64" s="1"/>
  <c r="Q39" i="64" s="1"/>
  <c r="CX16" i="65"/>
  <c r="P16" i="65" s="1"/>
  <c r="Q16" i="65" s="1"/>
  <c r="CX27" i="67"/>
  <c r="P27" i="67" s="1"/>
  <c r="Q27" i="67" s="1"/>
  <c r="CX37" i="71"/>
  <c r="P37" i="71" s="1"/>
  <c r="Q37" i="71" s="1"/>
  <c r="CX26" i="72"/>
  <c r="P26" i="72" s="1"/>
  <c r="Q26" i="72" s="1"/>
  <c r="G67" i="1"/>
  <c r="CX26" i="69"/>
  <c r="P26" i="69" s="1"/>
  <c r="Q26" i="69" s="1"/>
  <c r="CX24" i="70"/>
  <c r="P24" i="70" s="1"/>
  <c r="Q24" i="70" s="1"/>
  <c r="CX18" i="70"/>
  <c r="P18" i="70" s="1"/>
  <c r="Q18" i="70" s="1"/>
  <c r="CX17" i="68"/>
  <c r="P17" i="68" s="1"/>
  <c r="Q17" i="68" s="1"/>
  <c r="CX13" i="64"/>
  <c r="P13" i="64" s="1"/>
  <c r="Q13" i="64" s="1"/>
  <c r="CX24" i="65"/>
  <c r="P24" i="65" s="1"/>
  <c r="Q24" i="65" s="1"/>
  <c r="CX36" i="65"/>
  <c r="P36" i="65" s="1"/>
  <c r="CX16" i="67"/>
  <c r="P16" i="67" s="1"/>
  <c r="Q16" i="67" s="1"/>
  <c r="CX31" i="68"/>
  <c r="P31" i="68" s="1"/>
  <c r="Q31" i="68" s="1"/>
  <c r="CX26" i="66"/>
  <c r="P26" i="66" s="1"/>
  <c r="Q26" i="66" s="1"/>
  <c r="CX17" i="65"/>
  <c r="P17" i="65" s="1"/>
  <c r="Q17" i="65" s="1"/>
  <c r="CX35" i="68"/>
  <c r="P35" i="68" s="1"/>
  <c r="Q35" i="68" s="1"/>
  <c r="CX23" i="67"/>
  <c r="P23" i="67" s="1"/>
  <c r="Q23" i="67" s="1"/>
  <c r="CX11" i="72"/>
  <c r="P11" i="72" s="1"/>
  <c r="Q11" i="72" s="1"/>
  <c r="CX21" i="71"/>
  <c r="P21" i="71" s="1"/>
  <c r="Q21" i="71" s="1"/>
  <c r="CX17" i="70"/>
  <c r="P17" i="70" s="1"/>
  <c r="Q17" i="70" s="1"/>
  <c r="CX13" i="70"/>
  <c r="P13" i="70" s="1"/>
  <c r="Q13" i="70" s="1"/>
  <c r="CX13" i="68"/>
  <c r="P13" i="68" s="1"/>
  <c r="Q13" i="68" s="1"/>
  <c r="CX13" i="67"/>
  <c r="P13" i="67" s="1"/>
  <c r="Q13" i="67" s="1"/>
  <c r="CX15" i="71"/>
  <c r="P15" i="71" s="1"/>
  <c r="Q15" i="71" s="1"/>
  <c r="CX19" i="69"/>
  <c r="P19" i="69" s="1"/>
  <c r="Q19" i="69" s="1"/>
  <c r="CX11" i="70"/>
  <c r="P11" i="70" s="1"/>
  <c r="Q11" i="70" s="1"/>
  <c r="H63" i="1"/>
  <c r="CX36" i="71"/>
  <c r="P36" i="71" s="1"/>
  <c r="Q36" i="71" s="1"/>
  <c r="CX13" i="72"/>
  <c r="P13" i="72" s="1"/>
  <c r="Q13" i="72" s="1"/>
  <c r="G58" i="1"/>
  <c r="CX12" i="66"/>
  <c r="P12" i="66" s="1"/>
  <c r="Q12" i="66" s="1"/>
  <c r="G76" i="1"/>
  <c r="H54" i="1"/>
  <c r="CX25" i="72"/>
  <c r="P25" i="72" s="1"/>
  <c r="Q25" i="72" s="1"/>
  <c r="CX35" i="71"/>
  <c r="P35" i="71" s="1"/>
  <c r="Q35" i="71" s="1"/>
  <c r="CX29" i="71"/>
  <c r="P29" i="71" s="1"/>
  <c r="Q29" i="71" s="1"/>
  <c r="CX12" i="70"/>
  <c r="P12" i="70" s="1"/>
  <c r="Q12" i="70" s="1"/>
  <c r="CX12" i="69"/>
  <c r="P12" i="69" s="1"/>
  <c r="Q12" i="69" s="1"/>
  <c r="CX36" i="68"/>
  <c r="P36" i="68" s="1"/>
  <c r="Q36" i="68" s="1"/>
  <c r="CX11" i="65"/>
  <c r="P11" i="65" s="1"/>
  <c r="Q11" i="65" s="1"/>
  <c r="CX35" i="65"/>
  <c r="P35" i="65" s="1"/>
  <c r="Q35" i="65" s="1"/>
  <c r="CX33" i="64"/>
  <c r="P33" i="64" s="1"/>
  <c r="Q33" i="64" s="1"/>
  <c r="CX21" i="64"/>
  <c r="P21" i="64" s="1"/>
  <c r="Q21" i="64" s="1"/>
  <c r="CX9" i="63"/>
  <c r="P9" i="63" s="1"/>
  <c r="Q9" i="63" s="1"/>
  <c r="CX9" i="66"/>
  <c r="P9" i="66" s="1"/>
  <c r="Q9" i="66" s="1"/>
  <c r="O9" i="68"/>
  <c r="O38" i="68" s="1"/>
  <c r="CA38" i="68"/>
  <c r="CX10" i="68"/>
  <c r="P10" i="68" s="1"/>
  <c r="Q10" i="68" s="1"/>
  <c r="CX34" i="67"/>
  <c r="P34" i="67" s="1"/>
  <c r="Q34" i="67" s="1"/>
  <c r="CX20" i="67"/>
  <c r="P20" i="67" s="1"/>
  <c r="Q20" i="67" s="1"/>
  <c r="CX10" i="65"/>
  <c r="P10" i="65" s="1"/>
  <c r="Q10" i="65" s="1"/>
  <c r="CX14" i="63"/>
  <c r="P14" i="63" s="1"/>
  <c r="Q14" i="63" s="1"/>
  <c r="CX20" i="64"/>
  <c r="P20" i="64" s="1"/>
  <c r="Q20" i="64" s="1"/>
  <c r="Q23" i="65"/>
  <c r="CX11" i="64"/>
  <c r="P11" i="64" s="1"/>
  <c r="Q11" i="64" s="1"/>
  <c r="Q17" i="69"/>
  <c r="CX22" i="65"/>
  <c r="P22" i="65" s="1"/>
  <c r="Q22" i="65" s="1"/>
  <c r="CX15" i="65"/>
  <c r="P15" i="65" s="1"/>
  <c r="Q15" i="65" s="1"/>
  <c r="CX16" i="66"/>
  <c r="P16" i="66" s="1"/>
  <c r="Q16" i="66" s="1"/>
  <c r="CX34" i="64"/>
  <c r="P34" i="64" s="1"/>
  <c r="Q34" i="64" s="1"/>
  <c r="CX12" i="71"/>
  <c r="P12" i="71" s="1"/>
  <c r="Q12" i="71" s="1"/>
  <c r="CX29" i="65"/>
  <c r="P29" i="65" s="1"/>
  <c r="Q29" i="65" s="1"/>
  <c r="CX9" i="65"/>
  <c r="P9" i="65" s="1"/>
  <c r="Q9" i="65" s="1"/>
  <c r="CX14" i="64"/>
  <c r="P14" i="64" s="1"/>
  <c r="Q14" i="64" s="1"/>
  <c r="CX17" i="71"/>
  <c r="P17" i="71" s="1"/>
  <c r="Q17" i="71" s="1"/>
  <c r="CX28" i="70"/>
  <c r="P28" i="70" s="1"/>
  <c r="Q28" i="70" s="1"/>
  <c r="CX38" i="65"/>
  <c r="P38" i="65" s="1"/>
  <c r="Q38" i="65" s="1"/>
  <c r="Q19" i="65"/>
  <c r="CX19" i="64"/>
  <c r="P19" i="64" s="1"/>
  <c r="Q19" i="64" s="1"/>
  <c r="CX31" i="65"/>
  <c r="P31" i="65" s="1"/>
  <c r="Q31" i="65" s="1"/>
  <c r="CX23" i="66"/>
  <c r="P23" i="66" s="1"/>
  <c r="Q23" i="66" s="1"/>
  <c r="CX25" i="65"/>
  <c r="P25" i="65" s="1"/>
  <c r="Q25" i="65" s="1"/>
  <c r="CX32" i="65"/>
  <c r="P32" i="65" s="1"/>
  <c r="Q32" i="65" s="1"/>
  <c r="CX18" i="65"/>
  <c r="P18" i="65" s="1"/>
  <c r="Q18" i="65" s="1"/>
  <c r="CX30" i="63"/>
  <c r="P30" i="63" s="1"/>
  <c r="Q30" i="63" s="1"/>
  <c r="CX16" i="63"/>
  <c r="P16" i="63" s="1"/>
  <c r="Q16" i="63" s="1"/>
  <c r="CX23" i="63"/>
  <c r="P23" i="63" s="1"/>
  <c r="Q23" i="63" s="1"/>
  <c r="CX17" i="67"/>
  <c r="P17" i="67" s="1"/>
  <c r="Q17" i="67" s="1"/>
  <c r="CX28" i="69"/>
  <c r="P28" i="69" s="1"/>
  <c r="Q28" i="69" s="1"/>
  <c r="CX33" i="71"/>
  <c r="P33" i="71" s="1"/>
  <c r="Q33" i="71" s="1"/>
  <c r="Q33" i="65"/>
  <c r="Q26" i="65"/>
  <c r="Q36" i="65"/>
  <c r="CX19" i="71"/>
  <c r="P19" i="71" s="1"/>
  <c r="Q19" i="71" s="1"/>
  <c r="CX29" i="68"/>
  <c r="P29" i="68" s="1"/>
  <c r="Q29" i="68" s="1"/>
  <c r="CX21" i="70"/>
  <c r="P21" i="70" s="1"/>
  <c r="Q21" i="70" s="1"/>
  <c r="CX35" i="70"/>
  <c r="P35" i="70" s="1"/>
  <c r="Q35" i="70" s="1"/>
  <c r="CX26" i="67"/>
  <c r="P26" i="67" s="1"/>
  <c r="Q26" i="67" s="1"/>
  <c r="CX30" i="72"/>
  <c r="P30" i="72" s="1"/>
  <c r="Q30" i="72" s="1"/>
  <c r="CX14" i="67"/>
  <c r="P14" i="67" s="1"/>
  <c r="Q14" i="67" s="1"/>
  <c r="Q10" i="69"/>
  <c r="Q31" i="69"/>
  <c r="Q24" i="69"/>
  <c r="Q38" i="69"/>
  <c r="CX32" i="70"/>
  <c r="P32" i="70" s="1"/>
  <c r="Q32" i="70" s="1"/>
  <c r="CX16" i="71"/>
  <c r="P16" i="71" s="1"/>
  <c r="Q16" i="71" s="1"/>
  <c r="CX27" i="71"/>
  <c r="P27" i="71" s="1"/>
  <c r="Q27" i="71" s="1"/>
  <c r="CX25" i="70"/>
  <c r="P25" i="70" s="1"/>
  <c r="Q25" i="70" s="1"/>
  <c r="CX32" i="67"/>
  <c r="P32" i="67" s="1"/>
  <c r="Q32" i="67" s="1"/>
  <c r="Q37" i="65"/>
  <c r="CX9" i="71"/>
  <c r="P9" i="71" s="1"/>
  <c r="Q9" i="71" s="1"/>
  <c r="CX16" i="72"/>
  <c r="P16" i="72" s="1"/>
  <c r="Q16" i="72" s="1"/>
  <c r="CX25" i="69"/>
  <c r="P25" i="69" s="1"/>
  <c r="Q25" i="69" s="1"/>
  <c r="CX18" i="69"/>
  <c r="P18" i="69" s="1"/>
  <c r="Q18" i="69" s="1"/>
  <c r="CX14" i="66"/>
  <c r="P14" i="66" s="1"/>
  <c r="Q14" i="66" s="1"/>
  <c r="CX35" i="67"/>
  <c r="P35" i="67" s="1"/>
  <c r="Q35" i="67" s="1"/>
  <c r="CX10" i="66"/>
  <c r="P10" i="66" s="1"/>
  <c r="Q10" i="66" s="1"/>
  <c r="CX23" i="72"/>
  <c r="P23" i="72" s="1"/>
  <c r="Q23" i="72" s="1"/>
  <c r="CX25" i="67"/>
  <c r="P25" i="67" s="1"/>
  <c r="Q25" i="67" s="1"/>
  <c r="CX22" i="72"/>
  <c r="P22" i="72" s="1"/>
  <c r="Q22" i="72" s="1"/>
  <c r="CX29" i="72"/>
  <c r="P29" i="72" s="1"/>
  <c r="Q29" i="72" s="1"/>
  <c r="CX32" i="71"/>
  <c r="P32" i="71" s="1"/>
  <c r="Q32" i="71" s="1"/>
  <c r="CX31" i="71"/>
  <c r="P31" i="71" s="1"/>
  <c r="Q31" i="71" s="1"/>
  <c r="CX24" i="71"/>
  <c r="P24" i="71" s="1"/>
  <c r="Q24" i="71" s="1"/>
  <c r="CX20" i="71"/>
  <c r="P20" i="71" s="1"/>
  <c r="Q20" i="71" s="1"/>
  <c r="CX36" i="69"/>
  <c r="P36" i="69" s="1"/>
  <c r="Q36" i="69" s="1"/>
  <c r="CX9" i="69"/>
  <c r="P9" i="69" s="1"/>
  <c r="Q9" i="69" s="1"/>
  <c r="CX32" i="68"/>
  <c r="P32" i="68" s="1"/>
  <c r="Q32" i="68" s="1"/>
  <c r="CX18" i="68"/>
  <c r="P18" i="68" s="1"/>
  <c r="Q18" i="68" s="1"/>
  <c r="CX21" i="66"/>
  <c r="P21" i="66" s="1"/>
  <c r="Q21" i="66" s="1"/>
  <c r="CX21" i="72"/>
  <c r="P21" i="72" s="1"/>
  <c r="Q21" i="72" s="1"/>
  <c r="CX24" i="72"/>
  <c r="P24" i="72" s="1"/>
  <c r="Q24" i="72" s="1"/>
  <c r="CX27" i="72"/>
  <c r="P27" i="72" s="1"/>
  <c r="Q27" i="72" s="1"/>
  <c r="CX9" i="68"/>
  <c r="CX30" i="69"/>
  <c r="P30" i="69" s="1"/>
  <c r="Q30" i="69" s="1"/>
  <c r="CX20" i="72"/>
  <c r="P20" i="72" s="1"/>
  <c r="Q20" i="72" s="1"/>
  <c r="CX23" i="69"/>
  <c r="P23" i="69" s="1"/>
  <c r="Q23" i="69" s="1"/>
  <c r="CX16" i="68"/>
  <c r="P16" i="68" s="1"/>
  <c r="Q16" i="68" s="1"/>
  <c r="CX14" i="68"/>
  <c r="P14" i="68" s="1"/>
  <c r="Q14" i="68" s="1"/>
  <c r="CX24" i="66"/>
  <c r="P24" i="66" s="1"/>
  <c r="Q24" i="66" s="1"/>
  <c r="CX17" i="66"/>
  <c r="P17" i="66" s="1"/>
  <c r="Q17" i="66" s="1"/>
  <c r="CX16" i="69"/>
  <c r="P16" i="69" s="1"/>
  <c r="Q16" i="69" s="1"/>
  <c r="CX32" i="69"/>
  <c r="P32" i="69" s="1"/>
  <c r="Q32" i="69" s="1"/>
  <c r="CX19" i="70"/>
  <c r="P19" i="70" s="1"/>
  <c r="Q19" i="70" s="1"/>
  <c r="CX10" i="71"/>
  <c r="P10" i="71" s="1"/>
  <c r="Q10" i="71" s="1"/>
  <c r="CX35" i="69"/>
  <c r="P35" i="69" s="1"/>
  <c r="Q35" i="69" s="1"/>
  <c r="CX29" i="70"/>
  <c r="P29" i="70" s="1"/>
  <c r="Q29" i="70" s="1"/>
  <c r="CX21" i="67"/>
  <c r="P21" i="67" s="1"/>
  <c r="Q21" i="67" s="1"/>
  <c r="CX9" i="72"/>
  <c r="P9" i="72" s="1"/>
  <c r="Q9" i="72" s="1"/>
  <c r="CX22" i="69"/>
  <c r="P22" i="69" s="1"/>
  <c r="Q22" i="69" s="1"/>
  <c r="CX39" i="67"/>
  <c r="P39" i="67" s="1"/>
  <c r="Q39" i="67" s="1"/>
  <c r="CX14" i="72"/>
  <c r="P14" i="72" s="1"/>
  <c r="Q14" i="72" s="1"/>
  <c r="CX19" i="67"/>
  <c r="P19" i="67" s="1"/>
  <c r="Q19" i="67" s="1"/>
  <c r="CX29" i="69"/>
  <c r="P29" i="69" s="1"/>
  <c r="Q29" i="69" s="1"/>
  <c r="CX29" i="66"/>
  <c r="P29" i="66" s="1"/>
  <c r="Q29" i="66" s="1"/>
  <c r="CX33" i="67"/>
  <c r="P33" i="67" s="1"/>
  <c r="Q33" i="67" s="1"/>
  <c r="CX25" i="71"/>
  <c r="P25" i="71" s="1"/>
  <c r="Q25" i="71" s="1"/>
  <c r="CX28" i="68"/>
  <c r="P28" i="68" s="1"/>
  <c r="Q28" i="68" s="1"/>
  <c r="CX21" i="69"/>
  <c r="P21" i="69" s="1"/>
  <c r="Q21" i="69" s="1"/>
  <c r="CX38" i="67"/>
  <c r="P38" i="67" s="1"/>
  <c r="Q38" i="67" s="1"/>
  <c r="CX39" i="71"/>
  <c r="P39" i="71" s="1"/>
  <c r="Q39" i="71" s="1"/>
  <c r="CX28" i="66"/>
  <c r="P28" i="66" s="1"/>
  <c r="Q28" i="66" s="1"/>
  <c r="CX39" i="69"/>
  <c r="P39" i="69" s="1"/>
  <c r="Q39" i="69" s="1"/>
  <c r="CX15" i="66"/>
  <c r="P15" i="66" s="1"/>
  <c r="Q15" i="66" s="1"/>
  <c r="CX15" i="69"/>
  <c r="P15" i="69" s="1"/>
  <c r="Q15" i="69" s="1"/>
  <c r="CX27" i="70"/>
  <c r="P27" i="70" s="1"/>
  <c r="Q27" i="70" s="1"/>
  <c r="CX23" i="71"/>
  <c r="P23" i="71" s="1"/>
  <c r="Q23" i="71" s="1"/>
  <c r="CX15" i="68"/>
  <c r="P15" i="68" s="1"/>
  <c r="Q15" i="68" s="1"/>
  <c r="CX15" i="72"/>
  <c r="P15" i="72" s="1"/>
  <c r="Q15" i="72" s="1"/>
  <c r="CX17" i="72"/>
  <c r="P17" i="72" s="1"/>
  <c r="CX37" i="69"/>
  <c r="P37" i="69" s="1"/>
  <c r="Q37" i="69" s="1"/>
  <c r="CX10" i="72"/>
  <c r="P10" i="72" s="1"/>
  <c r="Q10" i="72" s="1"/>
  <c r="CX28" i="72"/>
  <c r="P28" i="72" s="1"/>
  <c r="Q28" i="72" s="1"/>
  <c r="CX30" i="71"/>
  <c r="P30" i="71" s="1"/>
  <c r="Q30" i="71" s="1"/>
  <c r="CX12" i="67"/>
  <c r="P12" i="67" s="1"/>
  <c r="Q12" i="67" s="1"/>
  <c r="CX34" i="71"/>
  <c r="P34" i="71" s="1"/>
  <c r="Q34" i="71" s="1"/>
  <c r="CX11" i="68"/>
  <c r="P11" i="68" s="1"/>
  <c r="Q11" i="68" s="1"/>
  <c r="CX20" i="70"/>
  <c r="P20" i="70" s="1"/>
  <c r="Q20" i="70" s="1"/>
  <c r="Q30" i="65"/>
  <c r="CX36" i="70"/>
  <c r="P36" i="70" s="1"/>
  <c r="Q36" i="70" s="1"/>
  <c r="CX30" i="68"/>
  <c r="P30" i="68" s="1"/>
  <c r="Q30" i="68" s="1"/>
  <c r="CX31" i="67"/>
  <c r="P31" i="67" s="1"/>
  <c r="Q31" i="67" s="1"/>
  <c r="CX11" i="69"/>
  <c r="P11" i="69" s="1"/>
  <c r="Q11" i="69" s="1"/>
  <c r="CX28" i="67"/>
  <c r="P28" i="67" s="1"/>
  <c r="Q28" i="67" s="1"/>
  <c r="CX38" i="71"/>
  <c r="P38" i="71" s="1"/>
  <c r="Q38" i="71" s="1"/>
  <c r="CX24" i="67"/>
  <c r="P24" i="67" s="1"/>
  <c r="Q24" i="67" s="1"/>
  <c r="CA40" i="69"/>
  <c r="CA39" i="65"/>
  <c r="CX14" i="69"/>
  <c r="P14" i="69" s="1"/>
  <c r="Q14" i="69" s="1"/>
  <c r="CA40" i="67"/>
  <c r="CA39" i="72"/>
  <c r="CA40" i="66"/>
  <c r="CX27" i="66"/>
  <c r="P27" i="66" s="1"/>
  <c r="Q27" i="66" s="1"/>
  <c r="CX26" i="70"/>
  <c r="P26" i="70" s="1"/>
  <c r="Q26" i="70" s="1"/>
  <c r="CX31" i="72"/>
  <c r="P31" i="72" s="1"/>
  <c r="Q31" i="72" s="1"/>
  <c r="CA39" i="70"/>
  <c r="CX18" i="67"/>
  <c r="P18" i="67" s="1"/>
  <c r="Q18" i="67" s="1"/>
  <c r="CX18" i="71"/>
  <c r="P18" i="71" s="1"/>
  <c r="Q18" i="71" s="1"/>
  <c r="CA40" i="71"/>
  <c r="CX22" i="70"/>
  <c r="P22" i="70" s="1"/>
  <c r="Q22" i="70" s="1"/>
  <c r="CX34" i="70"/>
  <c r="P34" i="70" s="1"/>
  <c r="Q34" i="70" s="1"/>
  <c r="CX13" i="66"/>
  <c r="P13" i="66" s="1"/>
  <c r="Q13" i="66" s="1"/>
  <c r="CX11" i="71"/>
  <c r="P11" i="71" s="1"/>
  <c r="Q11" i="71" s="1"/>
  <c r="CX22" i="66"/>
  <c r="P22" i="66" s="1"/>
  <c r="Q22" i="66" s="1"/>
  <c r="CX33" i="70"/>
  <c r="P33" i="70" s="1"/>
  <c r="Q33" i="70" s="1"/>
  <c r="CX20" i="66"/>
  <c r="P20" i="66" s="1"/>
  <c r="Q20" i="66" s="1"/>
  <c r="CX15" i="63"/>
  <c r="P15" i="63" s="1"/>
  <c r="Q15" i="63" s="1"/>
  <c r="CX24" i="63"/>
  <c r="P24" i="63" s="1"/>
  <c r="Q24" i="63" s="1"/>
  <c r="CX31" i="63"/>
  <c r="P31" i="63" s="1"/>
  <c r="Q31" i="63" s="1"/>
  <c r="CX28" i="63"/>
  <c r="P28" i="63" s="1"/>
  <c r="Q28" i="63" s="1"/>
  <c r="CX29" i="63"/>
  <c r="P29" i="63" s="1"/>
  <c r="Q29" i="63" s="1"/>
  <c r="CX22" i="63"/>
  <c r="P22" i="63" s="1"/>
  <c r="Q22" i="63" s="1"/>
  <c r="CX35" i="63"/>
  <c r="P35" i="63" s="1"/>
  <c r="Q35" i="63" s="1"/>
  <c r="CX17" i="63"/>
  <c r="P17" i="63" s="1"/>
  <c r="Q17" i="63" s="1"/>
  <c r="CX20" i="63"/>
  <c r="P20" i="63" s="1"/>
  <c r="Q20" i="63" s="1"/>
  <c r="CX27" i="63"/>
  <c r="P27" i="63" s="1"/>
  <c r="Q27" i="63" s="1"/>
  <c r="CX21" i="63"/>
  <c r="P21" i="63" s="1"/>
  <c r="Q21" i="63" s="1"/>
  <c r="CX36" i="63"/>
  <c r="P36" i="63" s="1"/>
  <c r="Q36" i="63" s="1"/>
  <c r="CX13" i="63"/>
  <c r="P13" i="63" s="1"/>
  <c r="Q13" i="63" s="1"/>
  <c r="CX34" i="63"/>
  <c r="P34" i="63" s="1"/>
  <c r="Q34" i="63" s="1"/>
  <c r="A5" i="48"/>
  <c r="B4" i="49"/>
  <c r="O40" i="69"/>
  <c r="O39" i="65"/>
  <c r="O40" i="71"/>
  <c r="O39" i="63"/>
  <c r="O40" i="66"/>
  <c r="O40" i="64"/>
  <c r="O40" i="67"/>
  <c r="O39" i="72"/>
  <c r="O39" i="70"/>
  <c r="H47" i="1"/>
  <c r="H44" i="1"/>
  <c r="H48" i="1"/>
  <c r="B4" i="46"/>
  <c r="G49" i="1"/>
  <c r="A5" i="49"/>
  <c r="AN36" i="43"/>
  <c r="CX38" i="68" l="1"/>
  <c r="Q40" i="64"/>
  <c r="P40" i="64"/>
  <c r="P39" i="65"/>
  <c r="P9" i="68"/>
  <c r="P39" i="72"/>
  <c r="P40" i="69"/>
  <c r="Q17" i="72"/>
  <c r="Q39" i="72" s="1"/>
  <c r="Q39" i="65"/>
  <c r="Q40" i="67"/>
  <c r="P40" i="67"/>
  <c r="P40" i="71"/>
  <c r="P39" i="70"/>
  <c r="Q40" i="66"/>
  <c r="Q40" i="71"/>
  <c r="Q39" i="70"/>
  <c r="P40" i="66"/>
  <c r="A5" i="47"/>
  <c r="Q40" i="69"/>
  <c r="P39" i="63"/>
  <c r="Q39" i="63"/>
  <c r="B5" i="47"/>
  <c r="H5" i="50"/>
  <c r="H24" i="50" s="1"/>
  <c r="A5" i="46"/>
  <c r="B5" i="49"/>
  <c r="A6" i="47"/>
  <c r="J75" i="1"/>
  <c r="J74" i="1"/>
  <c r="J73" i="1"/>
  <c r="J72" i="1"/>
  <c r="J71" i="1"/>
  <c r="F76" i="1"/>
  <c r="E67" i="1"/>
  <c r="J66" i="1"/>
  <c r="J65" i="1"/>
  <c r="J64" i="1"/>
  <c r="J63" i="1"/>
  <c r="J62" i="1"/>
  <c r="F67" i="1"/>
  <c r="E58" i="1"/>
  <c r="J57" i="1"/>
  <c r="J56" i="1"/>
  <c r="J55" i="1"/>
  <c r="J54" i="1"/>
  <c r="J53" i="1"/>
  <c r="E49" i="1"/>
  <c r="J48" i="1"/>
  <c r="J47" i="1"/>
  <c r="J46" i="1"/>
  <c r="J45" i="1"/>
  <c r="J44" i="1"/>
  <c r="Q9" i="68" l="1"/>
  <c r="Q38" i="68" s="1"/>
  <c r="P38" i="68"/>
  <c r="H6" i="50"/>
  <c r="B5" i="48"/>
  <c r="F17" i="50"/>
  <c r="B5" i="46"/>
  <c r="A6" i="48"/>
  <c r="A6" i="49"/>
  <c r="B6" i="47"/>
  <c r="H58" i="1"/>
  <c r="H49" i="1"/>
  <c r="H76" i="1"/>
  <c r="H67" i="1"/>
  <c r="F49" i="1"/>
  <c r="F58" i="1"/>
  <c r="G43" i="50" l="1"/>
  <c r="H7" i="50"/>
  <c r="H25" i="50"/>
  <c r="A6" i="46"/>
  <c r="B6" i="48"/>
  <c r="B6" i="49"/>
  <c r="A7" i="47"/>
  <c r="H8" i="50" l="1"/>
  <c r="H26" i="50"/>
  <c r="B6" i="46"/>
  <c r="A7" i="48"/>
  <c r="A7" i="49"/>
  <c r="B7" i="47"/>
  <c r="G44" i="50" l="1"/>
  <c r="G45" i="50" s="1"/>
  <c r="H9" i="50"/>
  <c r="H33" i="50"/>
  <c r="A7" i="46"/>
  <c r="B7" i="48"/>
  <c r="B7" i="49"/>
  <c r="A8" i="47"/>
  <c r="H10" i="50" l="1"/>
  <c r="H34" i="50"/>
  <c r="B7" i="46"/>
  <c r="A8" i="48"/>
  <c r="A8" i="49"/>
  <c r="B8" i="47"/>
  <c r="G51" i="50" l="1"/>
  <c r="H11" i="50"/>
  <c r="H35" i="50"/>
  <c r="H36" i="50" s="1"/>
  <c r="A8" i="46"/>
  <c r="B8" i="48"/>
  <c r="B8" i="49"/>
  <c r="A9" i="47"/>
  <c r="H12" i="50" l="1"/>
  <c r="H42" i="50"/>
  <c r="B8" i="46"/>
  <c r="A9" i="48"/>
  <c r="A9" i="49"/>
  <c r="B9" i="47"/>
  <c r="G52" i="50" l="1"/>
  <c r="H13" i="50"/>
  <c r="H43" i="50"/>
  <c r="A9" i="46"/>
  <c r="B9" i="48"/>
  <c r="B9" i="49"/>
  <c r="A10" i="47"/>
  <c r="G53" i="50" l="1"/>
  <c r="G54" i="50" s="1"/>
  <c r="H14" i="50"/>
  <c r="H44" i="50"/>
  <c r="H45" i="50" s="1"/>
  <c r="B9" i="46"/>
  <c r="A10" i="48"/>
  <c r="A10" i="49"/>
  <c r="B10" i="47"/>
  <c r="H15" i="50" l="1"/>
  <c r="H51" i="50"/>
  <c r="A10" i="46"/>
  <c r="B10" i="48"/>
  <c r="B10" i="49"/>
  <c r="A11" i="47"/>
  <c r="H16" i="50" l="1"/>
  <c r="H17" i="50" s="1"/>
  <c r="H52" i="50"/>
  <c r="B10" i="46"/>
  <c r="A11" i="48"/>
  <c r="A11" i="49"/>
  <c r="B11" i="47"/>
  <c r="H53" i="50" l="1"/>
  <c r="H54" i="50" s="1"/>
  <c r="A11" i="46"/>
  <c r="B11" i="48"/>
  <c r="B11" i="49"/>
  <c r="A12" i="47"/>
  <c r="H20" i="50" l="1"/>
  <c r="E59" i="50"/>
  <c r="B11" i="46"/>
  <c r="A12" i="48"/>
  <c r="A12" i="49"/>
  <c r="B12" i="47"/>
  <c r="A12" i="46" l="1"/>
  <c r="B12" i="48"/>
  <c r="B12" i="49"/>
  <c r="A13" i="47"/>
  <c r="B12" i="46" l="1"/>
  <c r="A13" i="48"/>
  <c r="A13" i="49"/>
  <c r="B13" i="47"/>
  <c r="A13" i="46" l="1"/>
  <c r="B13" i="48"/>
  <c r="B13" i="49"/>
  <c r="A14" i="47"/>
  <c r="B13" i="46" l="1"/>
  <c r="A14" i="48"/>
  <c r="A14" i="49"/>
  <c r="B14" i="47"/>
  <c r="A14" i="46" l="1"/>
  <c r="B14" i="48"/>
  <c r="B14" i="49"/>
  <c r="A15" i="47"/>
  <c r="B14" i="46" l="1"/>
  <c r="A15" i="48"/>
  <c r="A15" i="49"/>
  <c r="B15" i="47"/>
  <c r="A15" i="46" l="1"/>
  <c r="B15" i="48"/>
  <c r="B15" i="49"/>
  <c r="A16" i="47"/>
  <c r="B15" i="46" l="1"/>
  <c r="A16" i="48"/>
  <c r="A16" i="49"/>
  <c r="B16" i="47"/>
  <c r="A16" i="46" l="1"/>
  <c r="B16" i="48"/>
  <c r="B16" i="49"/>
  <c r="B16" i="46" l="1"/>
  <c r="A1" i="41" l="1"/>
  <c r="AO82" i="41"/>
  <c r="BL82" i="41" s="1"/>
  <c r="AO83" i="41"/>
  <c r="BL83" i="41" s="1"/>
  <c r="AO84" i="41"/>
  <c r="BL84" i="41" s="1"/>
  <c r="AO85" i="41"/>
  <c r="BL85" i="41" s="1"/>
  <c r="A10" i="41"/>
  <c r="A3" i="23" s="1"/>
  <c r="A3" i="24" s="1"/>
  <c r="B10" i="41" l="1"/>
  <c r="A11" i="41"/>
  <c r="B11" i="41" l="1"/>
  <c r="A4" i="23"/>
  <c r="A4" i="24" s="1"/>
  <c r="CG10" i="41"/>
  <c r="B3" i="23"/>
  <c r="B3" i="24" s="1"/>
  <c r="CI11" i="41"/>
  <c r="CJ11" i="41"/>
  <c r="CK11" i="41"/>
  <c r="CL11" i="41"/>
  <c r="CM11" i="41"/>
  <c r="CQ11" i="41"/>
  <c r="CI10" i="41"/>
  <c r="CK10" i="41"/>
  <c r="CM10" i="41"/>
  <c r="CL10" i="41"/>
  <c r="CJ10" i="41"/>
  <c r="CQ10" i="41"/>
  <c r="AZ10" i="41"/>
  <c r="AY10" i="41"/>
  <c r="AX10" i="41"/>
  <c r="AW10" i="41"/>
  <c r="AV10" i="41"/>
  <c r="CO10" i="41"/>
  <c r="CN10" i="41"/>
  <c r="CW10" i="41"/>
  <c r="CV10" i="41"/>
  <c r="CU10" i="41"/>
  <c r="CT10" i="41"/>
  <c r="CR10" i="41"/>
  <c r="CS10" i="41"/>
  <c r="CD10" i="41"/>
  <c r="CH10" i="41"/>
  <c r="CE10" i="41"/>
  <c r="CF10" i="41"/>
  <c r="CP10" i="41"/>
  <c r="CV11" i="41"/>
  <c r="CN11" i="41"/>
  <c r="CW11" i="41"/>
  <c r="CO11" i="41"/>
  <c r="CP11" i="41"/>
  <c r="CD11" i="41"/>
  <c r="CR11" i="41"/>
  <c r="CE11" i="41"/>
  <c r="CS11" i="41"/>
  <c r="CF11" i="41"/>
  <c r="CT11" i="41"/>
  <c r="CU11" i="41"/>
  <c r="CH11" i="41"/>
  <c r="AJ10" i="41"/>
  <c r="AH10" i="41"/>
  <c r="AG10" i="41"/>
  <c r="AK10" i="41"/>
  <c r="AI10" i="41"/>
  <c r="AI11" i="41"/>
  <c r="AJ11" i="41"/>
  <c r="AH11" i="41"/>
  <c r="AG11" i="41"/>
  <c r="AK11" i="41"/>
  <c r="A12" i="41"/>
  <c r="A5" i="23" s="1"/>
  <c r="A5" i="24" s="1"/>
  <c r="BZ11" i="41"/>
  <c r="BT11" i="41"/>
  <c r="BQ11" i="41"/>
  <c r="BM11" i="41"/>
  <c r="BU11" i="41"/>
  <c r="BN11" i="41"/>
  <c r="BH11" i="41"/>
  <c r="BG11" i="41"/>
  <c r="BV11" i="41"/>
  <c r="BR11" i="41"/>
  <c r="BI11" i="41"/>
  <c r="BL11" i="41"/>
  <c r="BW11" i="41"/>
  <c r="BO11" i="41"/>
  <c r="BJ11" i="41"/>
  <c r="BX11" i="41"/>
  <c r="BS11" i="41"/>
  <c r="BK11" i="41"/>
  <c r="BY11" i="41"/>
  <c r="BP11" i="41"/>
  <c r="BW10" i="41"/>
  <c r="BR10" i="41"/>
  <c r="BV10" i="41"/>
  <c r="BH10" i="41"/>
  <c r="BN10" i="41"/>
  <c r="BO10" i="41"/>
  <c r="BI10" i="41"/>
  <c r="BG10" i="41"/>
  <c r="BS10" i="41"/>
  <c r="BJ10" i="41"/>
  <c r="BP10" i="41"/>
  <c r="BK10" i="41"/>
  <c r="BZ10" i="41"/>
  <c r="BT10" i="41"/>
  <c r="BY10" i="41"/>
  <c r="BQ10" i="41"/>
  <c r="BM10" i="41"/>
  <c r="BX10" i="41"/>
  <c r="BU10" i="41"/>
  <c r="BL10" i="41"/>
  <c r="AT11" i="41"/>
  <c r="AL11" i="41"/>
  <c r="AS11" i="41"/>
  <c r="AX11" i="41"/>
  <c r="AZ11" i="41"/>
  <c r="AR11" i="41"/>
  <c r="AP11" i="41"/>
  <c r="AY11" i="41"/>
  <c r="AQ11" i="41"/>
  <c r="AW11" i="41"/>
  <c r="AO11" i="41"/>
  <c r="AV11" i="41"/>
  <c r="AN11" i="41"/>
  <c r="AU11" i="41"/>
  <c r="AM11" i="41"/>
  <c r="AR10" i="41"/>
  <c r="AQ10" i="41"/>
  <c r="AP10" i="41"/>
  <c r="AN10" i="41"/>
  <c r="AO10" i="41"/>
  <c r="AT10" i="41"/>
  <c r="AU10" i="41"/>
  <c r="AM10" i="41"/>
  <c r="AL10" i="41"/>
  <c r="AS10" i="41"/>
  <c r="D11" i="41"/>
  <c r="D4" i="23" s="1"/>
  <c r="E4" i="24" s="1"/>
  <c r="D10" i="41"/>
  <c r="D3" i="23" s="1"/>
  <c r="E3" i="24" s="1"/>
  <c r="CG11" i="41" l="1"/>
  <c r="B4" i="23"/>
  <c r="B4" i="24" s="1"/>
  <c r="BA10" i="41"/>
  <c r="CX11" i="41"/>
  <c r="P11" i="41" s="1"/>
  <c r="CX10" i="41"/>
  <c r="P10" i="41" s="1"/>
  <c r="CA10" i="41"/>
  <c r="O10" i="41" s="1"/>
  <c r="Z10" i="41" s="1"/>
  <c r="CA11" i="41"/>
  <c r="O11" i="41" s="1"/>
  <c r="BA11" i="41"/>
  <c r="A13" i="41"/>
  <c r="A6" i="23" s="1"/>
  <c r="A6" i="24" s="1"/>
  <c r="B12" i="41"/>
  <c r="BB11" i="41"/>
  <c r="BB10" i="41"/>
  <c r="CG12" i="41" l="1"/>
  <c r="B5" i="23"/>
  <c r="B5" i="24" s="1"/>
  <c r="CI12" i="41"/>
  <c r="CK12" i="41"/>
  <c r="CL12" i="41"/>
  <c r="CM12" i="41"/>
  <c r="CJ12" i="41"/>
  <c r="CQ12" i="41"/>
  <c r="CR12" i="41"/>
  <c r="CS12" i="41"/>
  <c r="CT12" i="41"/>
  <c r="CU12" i="41"/>
  <c r="CV12" i="41"/>
  <c r="CN12" i="41"/>
  <c r="CD12" i="41"/>
  <c r="CW12" i="41"/>
  <c r="CO12" i="41"/>
  <c r="CE12" i="41"/>
  <c r="CP12" i="41"/>
  <c r="CF12" i="41"/>
  <c r="CH12" i="41"/>
  <c r="N11" i="41"/>
  <c r="Q11" i="41" s="1"/>
  <c r="AJ12" i="41"/>
  <c r="AH12" i="41"/>
  <c r="AG12" i="41"/>
  <c r="AK12" i="41"/>
  <c r="N10" i="41"/>
  <c r="BM12" i="41"/>
  <c r="BR12" i="41"/>
  <c r="BX12" i="41"/>
  <c r="BI12" i="41"/>
  <c r="AU12" i="41"/>
  <c r="AY12" i="41"/>
  <c r="BP12" i="41"/>
  <c r="BU12" i="41"/>
  <c r="BO12" i="41"/>
  <c r="AM12" i="41"/>
  <c r="AQ12" i="41"/>
  <c r="BV12" i="41"/>
  <c r="BY12" i="41"/>
  <c r="BJ12" i="41"/>
  <c r="AW12" i="41"/>
  <c r="AT12" i="41"/>
  <c r="AI12" i="41"/>
  <c r="BT12" i="41"/>
  <c r="BN12" i="41"/>
  <c r="BS12" i="41"/>
  <c r="AO12" i="41"/>
  <c r="AL12" i="41"/>
  <c r="AX12" i="41"/>
  <c r="BL12" i="41"/>
  <c r="BH12" i="41"/>
  <c r="BK12" i="41"/>
  <c r="AS12" i="41"/>
  <c r="AP12" i="41"/>
  <c r="BW12" i="41"/>
  <c r="BG12" i="41"/>
  <c r="AV12" i="41"/>
  <c r="AZ12" i="41"/>
  <c r="D12" i="41"/>
  <c r="D5" i="23" s="1"/>
  <c r="E5" i="24" s="1"/>
  <c r="BQ12" i="41"/>
  <c r="BZ12" i="41"/>
  <c r="AN12" i="41"/>
  <c r="AR12" i="41"/>
  <c r="A14" i="41"/>
  <c r="A7" i="23" s="1"/>
  <c r="A7" i="24" s="1"/>
  <c r="B13" i="41"/>
  <c r="CG13" i="41" l="1"/>
  <c r="B6" i="23"/>
  <c r="B6" i="24" s="1"/>
  <c r="CI13" i="41"/>
  <c r="CJ13" i="41"/>
  <c r="CK13" i="41"/>
  <c r="CL13" i="41"/>
  <c r="CM13" i="41"/>
  <c r="CQ13" i="41"/>
  <c r="CX12" i="41"/>
  <c r="P12" i="41" s="1"/>
  <c r="Y10" i="41"/>
  <c r="Q10" i="41"/>
  <c r="CA12" i="41"/>
  <c r="O12" i="41" s="1"/>
  <c r="CT13" i="41"/>
  <c r="CE13" i="41"/>
  <c r="CU13" i="41"/>
  <c r="CV13" i="41"/>
  <c r="CN13" i="41"/>
  <c r="CW13" i="41"/>
  <c r="CO13" i="41"/>
  <c r="CH13" i="41"/>
  <c r="CP13" i="41"/>
  <c r="CR13" i="41"/>
  <c r="CS13" i="41"/>
  <c r="CD13" i="41"/>
  <c r="CF13" i="41"/>
  <c r="BA12" i="41"/>
  <c r="N12" i="41" s="1"/>
  <c r="Y12" i="41" s="1"/>
  <c r="AJ13" i="41"/>
  <c r="AH13" i="41"/>
  <c r="AG13" i="41"/>
  <c r="AK13" i="41"/>
  <c r="BY13" i="41"/>
  <c r="BN13" i="41"/>
  <c r="BO13" i="41"/>
  <c r="AY13" i="41"/>
  <c r="AO13" i="41"/>
  <c r="BP13" i="41"/>
  <c r="BH13" i="41"/>
  <c r="BJ13" i="41"/>
  <c r="AQ13" i="41"/>
  <c r="AW13" i="41"/>
  <c r="BZ13" i="41"/>
  <c r="BG13" i="41"/>
  <c r="AI13" i="41"/>
  <c r="AN13" i="41"/>
  <c r="D13" i="41"/>
  <c r="D6" i="23" s="1"/>
  <c r="E6" i="24" s="1"/>
  <c r="BT13" i="41"/>
  <c r="BK13" i="41"/>
  <c r="AV13" i="41"/>
  <c r="AU13" i="41"/>
  <c r="BL13" i="41"/>
  <c r="BV13" i="41"/>
  <c r="AX13" i="41"/>
  <c r="AM13" i="41"/>
  <c r="BQ13" i="41"/>
  <c r="BR13" i="41"/>
  <c r="AZ13" i="41"/>
  <c r="AP13" i="41"/>
  <c r="AT13" i="41"/>
  <c r="AS13" i="41"/>
  <c r="BX13" i="41"/>
  <c r="BM13" i="41"/>
  <c r="BI13" i="41"/>
  <c r="AR13" i="41"/>
  <c r="AL13" i="41"/>
  <c r="BS13" i="41"/>
  <c r="BU13" i="41"/>
  <c r="BW13" i="41"/>
  <c r="A15" i="41"/>
  <c r="A8" i="23" s="1"/>
  <c r="A8" i="24" s="1"/>
  <c r="B14" i="41"/>
  <c r="BB12" i="41"/>
  <c r="CG14" i="41" l="1"/>
  <c r="B7" i="23"/>
  <c r="B7" i="24" s="1"/>
  <c r="CI14" i="41"/>
  <c r="CK14" i="41"/>
  <c r="CL14" i="41"/>
  <c r="CM14" i="41"/>
  <c r="CJ14" i="41"/>
  <c r="CQ14" i="41"/>
  <c r="CX13" i="41"/>
  <c r="P13" i="41" s="1"/>
  <c r="Q12" i="41"/>
  <c r="CW14" i="41"/>
  <c r="CO14" i="41"/>
  <c r="CP14" i="41"/>
  <c r="CE14" i="41"/>
  <c r="CR14" i="41"/>
  <c r="CF14" i="41"/>
  <c r="CS14" i="41"/>
  <c r="CT14" i="41"/>
  <c r="CH14" i="41"/>
  <c r="CU14" i="41"/>
  <c r="CV14" i="41"/>
  <c r="CN14" i="41"/>
  <c r="CD14" i="41"/>
  <c r="CA13" i="41"/>
  <c r="O13" i="41" s="1"/>
  <c r="BA13" i="41"/>
  <c r="AJ14" i="41"/>
  <c r="AH14" i="41"/>
  <c r="AG14" i="41"/>
  <c r="BT14" i="41"/>
  <c r="BN14" i="41"/>
  <c r="AZ14" i="41"/>
  <c r="AW14" i="41"/>
  <c r="D14" i="41"/>
  <c r="D7" i="23" s="1"/>
  <c r="E7" i="24" s="1"/>
  <c r="BL14" i="41"/>
  <c r="BH14" i="41"/>
  <c r="AU14" i="41"/>
  <c r="AR14" i="41"/>
  <c r="AO14" i="41"/>
  <c r="BW14" i="41"/>
  <c r="BG14" i="41"/>
  <c r="AM14" i="41"/>
  <c r="BO14" i="41"/>
  <c r="BQ14" i="41"/>
  <c r="BZ14" i="41"/>
  <c r="AY14" i="41"/>
  <c r="AQ14" i="41"/>
  <c r="AV14" i="41"/>
  <c r="BS14" i="41"/>
  <c r="BM14" i="41"/>
  <c r="BR14" i="41"/>
  <c r="AT14" i="41"/>
  <c r="AI14" i="41"/>
  <c r="AN14" i="41"/>
  <c r="BK14" i="41"/>
  <c r="BX14" i="41"/>
  <c r="BI14" i="41"/>
  <c r="AL14" i="41"/>
  <c r="AX14" i="41"/>
  <c r="BP14" i="41"/>
  <c r="BU14" i="41"/>
  <c r="BJ14" i="41"/>
  <c r="AS14" i="41"/>
  <c r="AP14" i="41"/>
  <c r="BV14" i="41"/>
  <c r="BY14" i="41"/>
  <c r="AK14" i="41"/>
  <c r="A16" i="41"/>
  <c r="A9" i="23" s="1"/>
  <c r="A9" i="24" s="1"/>
  <c r="B15" i="41"/>
  <c r="BB13" i="41"/>
  <c r="CG15" i="41" l="1"/>
  <c r="B8" i="23"/>
  <c r="B8" i="24" s="1"/>
  <c r="CI15" i="41"/>
  <c r="CJ15" i="41"/>
  <c r="CK15" i="41"/>
  <c r="CL15" i="41"/>
  <c r="CM15" i="41"/>
  <c r="CQ15" i="41"/>
  <c r="CX14" i="41"/>
  <c r="P14" i="41" s="1"/>
  <c r="CR15" i="41"/>
  <c r="CS15" i="41"/>
  <c r="CT15" i="41"/>
  <c r="CU15" i="41"/>
  <c r="CD15" i="41"/>
  <c r="CV15" i="41"/>
  <c r="CN15" i="41"/>
  <c r="CE15" i="41"/>
  <c r="CW15" i="41"/>
  <c r="CO15" i="41"/>
  <c r="CF15" i="41"/>
  <c r="CP15" i="41"/>
  <c r="CH15" i="41"/>
  <c r="N13" i="41"/>
  <c r="CA14" i="41"/>
  <c r="O14" i="41" s="1"/>
  <c r="BA14" i="41"/>
  <c r="N14" i="41" s="1"/>
  <c r="AJ15" i="41"/>
  <c r="AH15" i="41"/>
  <c r="AG15" i="41"/>
  <c r="BR15" i="41"/>
  <c r="BY15" i="41"/>
  <c r="BN15" i="41"/>
  <c r="AS15" i="41"/>
  <c r="AQ15" i="41"/>
  <c r="BW15" i="41"/>
  <c r="BP15" i="41"/>
  <c r="BH15" i="41"/>
  <c r="AW15" i="41"/>
  <c r="AT15" i="41"/>
  <c r="AI15" i="41"/>
  <c r="AP15" i="41"/>
  <c r="BO15" i="41"/>
  <c r="BZ15" i="41"/>
  <c r="BG15" i="41"/>
  <c r="AO15" i="41"/>
  <c r="AL15" i="41"/>
  <c r="AX15" i="41"/>
  <c r="BJ15" i="41"/>
  <c r="BT15" i="41"/>
  <c r="AK15" i="41"/>
  <c r="BI15" i="41"/>
  <c r="BL15" i="41"/>
  <c r="AV15" i="41"/>
  <c r="AZ15" i="41"/>
  <c r="BX15" i="41"/>
  <c r="BQ15" i="41"/>
  <c r="AN15" i="41"/>
  <c r="AR15" i="41"/>
  <c r="D15" i="41"/>
  <c r="D8" i="23" s="1"/>
  <c r="E8" i="24" s="1"/>
  <c r="BS15" i="41"/>
  <c r="BM15" i="41"/>
  <c r="AU15" i="41"/>
  <c r="BV15" i="41"/>
  <c r="BK15" i="41"/>
  <c r="BU15" i="41"/>
  <c r="AM15" i="41"/>
  <c r="AY15" i="41"/>
  <c r="BB14" i="41"/>
  <c r="B16" i="41"/>
  <c r="A17" i="41"/>
  <c r="A10" i="23" s="1"/>
  <c r="A10" i="24" s="1"/>
  <c r="CG16" i="41" l="1"/>
  <c r="B9" i="23"/>
  <c r="B9" i="24" s="1"/>
  <c r="Q13" i="41"/>
  <c r="CI16" i="41"/>
  <c r="CK16" i="41"/>
  <c r="CL16" i="41"/>
  <c r="CM16" i="41"/>
  <c r="CJ16" i="41"/>
  <c r="CQ16" i="41"/>
  <c r="CX15" i="41"/>
  <c r="P15" i="41" s="1"/>
  <c r="Q14" i="41"/>
  <c r="CU16" i="41"/>
  <c r="CV16" i="41"/>
  <c r="CN16" i="41"/>
  <c r="CW16" i="41"/>
  <c r="CO16" i="41"/>
  <c r="CP16" i="41"/>
  <c r="CR16" i="41"/>
  <c r="CD16" i="41"/>
  <c r="CS16" i="41"/>
  <c r="CE16" i="41"/>
  <c r="CT16" i="41"/>
  <c r="CF16" i="41"/>
  <c r="CH16" i="41"/>
  <c r="CA15" i="41"/>
  <c r="O15" i="41" s="1"/>
  <c r="Z15" i="41" s="1"/>
  <c r="BA15" i="41"/>
  <c r="N15" i="41" s="1"/>
  <c r="AJ16" i="41"/>
  <c r="AH16" i="41"/>
  <c r="AG16" i="41"/>
  <c r="A18" i="41"/>
  <c r="A11" i="23" s="1"/>
  <c r="A11" i="24" s="1"/>
  <c r="B17" i="41"/>
  <c r="BY16" i="41"/>
  <c r="BK16" i="41"/>
  <c r="BQ16" i="41"/>
  <c r="AR16" i="41"/>
  <c r="AK16" i="41"/>
  <c r="AN16" i="41"/>
  <c r="D16" i="41"/>
  <c r="D9" i="23" s="1"/>
  <c r="E9" i="24" s="1"/>
  <c r="AL16" i="41"/>
  <c r="BZ16" i="41"/>
  <c r="BH16" i="41"/>
  <c r="BM16" i="41"/>
  <c r="AY16" i="41"/>
  <c r="AX16" i="41"/>
  <c r="AT16" i="41"/>
  <c r="BR16" i="41"/>
  <c r="BP16" i="41"/>
  <c r="BX16" i="41"/>
  <c r="AQ16" i="41"/>
  <c r="BI16" i="41"/>
  <c r="BV16" i="41"/>
  <c r="BU16" i="41"/>
  <c r="AS16" i="41"/>
  <c r="AW16" i="41"/>
  <c r="AO16" i="41"/>
  <c r="BO16" i="41"/>
  <c r="BT16" i="41"/>
  <c r="AI16" i="41"/>
  <c r="AM16" i="41"/>
  <c r="BL16" i="41"/>
  <c r="AV16" i="41"/>
  <c r="AU16" i="41"/>
  <c r="BJ16" i="41"/>
  <c r="AP16" i="41"/>
  <c r="BN16" i="41"/>
  <c r="BG16" i="41"/>
  <c r="BS16" i="41"/>
  <c r="BW16" i="41"/>
  <c r="AZ16" i="41"/>
  <c r="BB15" i="41"/>
  <c r="CG17" i="41" l="1"/>
  <c r="B10" i="23"/>
  <c r="B10" i="24" s="1"/>
  <c r="CI17" i="41"/>
  <c r="CJ17" i="41"/>
  <c r="CK17" i="41"/>
  <c r="CL17" i="41"/>
  <c r="CM17" i="41"/>
  <c r="CQ17" i="41"/>
  <c r="CX16" i="41"/>
  <c r="P16" i="41" s="1"/>
  <c r="Q15" i="41"/>
  <c r="CA16" i="41"/>
  <c r="O16" i="41" s="1"/>
  <c r="Z16" i="41" s="1"/>
  <c r="CP17" i="41"/>
  <c r="CE17" i="41"/>
  <c r="CR17" i="41"/>
  <c r="CS17" i="41"/>
  <c r="CH17" i="41"/>
  <c r="CT17" i="41"/>
  <c r="CU17" i="41"/>
  <c r="CV17" i="41"/>
  <c r="CN17" i="41"/>
  <c r="CW17" i="41"/>
  <c r="CO17" i="41"/>
  <c r="CD17" i="41"/>
  <c r="CF17" i="41"/>
  <c r="BA16" i="41"/>
  <c r="N16" i="41" s="1"/>
  <c r="AG17" i="41"/>
  <c r="AH17" i="41"/>
  <c r="AJ17" i="41"/>
  <c r="BI17" i="41"/>
  <c r="BP17" i="41"/>
  <c r="AY17" i="41"/>
  <c r="AU17" i="41"/>
  <c r="AP17" i="41"/>
  <c r="D17" i="41"/>
  <c r="D10" i="23" s="1"/>
  <c r="E10" i="24" s="1"/>
  <c r="AM17" i="41"/>
  <c r="BW17" i="41"/>
  <c r="BZ17" i="41"/>
  <c r="AO17" i="41"/>
  <c r="AI17" i="41"/>
  <c r="AQ17" i="41"/>
  <c r="AZ17" i="41"/>
  <c r="BU17" i="41"/>
  <c r="BO17" i="41"/>
  <c r="BT17" i="41"/>
  <c r="AX17" i="41"/>
  <c r="BN17" i="41"/>
  <c r="BJ17" i="41"/>
  <c r="BL17" i="41"/>
  <c r="AN17" i="41"/>
  <c r="AR17" i="41"/>
  <c r="AL17" i="41"/>
  <c r="BH17" i="41"/>
  <c r="BX17" i="41"/>
  <c r="BQ17" i="41"/>
  <c r="AT17" i="41"/>
  <c r="AW17" i="41"/>
  <c r="BG17" i="41"/>
  <c r="BS17" i="41"/>
  <c r="BM17" i="41"/>
  <c r="BV17" i="41"/>
  <c r="BK17" i="41"/>
  <c r="AS17" i="41"/>
  <c r="AV17" i="41"/>
  <c r="BR17" i="41"/>
  <c r="BY17" i="41"/>
  <c r="AK17" i="41"/>
  <c r="A19" i="41"/>
  <c r="A12" i="23" s="1"/>
  <c r="A12" i="24" s="1"/>
  <c r="B18" i="41"/>
  <c r="BB16" i="41"/>
  <c r="CG18" i="41" l="1"/>
  <c r="B11" i="23"/>
  <c r="B11" i="24" s="1"/>
  <c r="CI18" i="41"/>
  <c r="CK18" i="41"/>
  <c r="CL18" i="41"/>
  <c r="CM18" i="41"/>
  <c r="CJ18" i="41"/>
  <c r="CQ18" i="41"/>
  <c r="CX17" i="41"/>
  <c r="P17" i="41" s="1"/>
  <c r="Q16" i="41"/>
  <c r="Y16" i="41"/>
  <c r="CS18" i="41"/>
  <c r="CT18" i="41"/>
  <c r="CU18" i="41"/>
  <c r="CE18" i="41"/>
  <c r="CV18" i="41"/>
  <c r="CN18" i="41"/>
  <c r="CF18" i="41"/>
  <c r="CW18" i="41"/>
  <c r="CO18" i="41"/>
  <c r="CP18" i="41"/>
  <c r="CH18" i="41"/>
  <c r="CR18" i="41"/>
  <c r="CD18" i="41"/>
  <c r="CA17" i="41"/>
  <c r="O17" i="41" s="1"/>
  <c r="BA17" i="41"/>
  <c r="AJ18" i="41"/>
  <c r="AG18" i="41"/>
  <c r="BB17" i="41"/>
  <c r="BY18" i="41"/>
  <c r="BJ18" i="41"/>
  <c r="AS18" i="41"/>
  <c r="AY18" i="41"/>
  <c r="BN18" i="41"/>
  <c r="BS18" i="41"/>
  <c r="AI18" i="41"/>
  <c r="AO18" i="41"/>
  <c r="BH18" i="41"/>
  <c r="BK18" i="41"/>
  <c r="AU18" i="41"/>
  <c r="AR18" i="41"/>
  <c r="AX18" i="41"/>
  <c r="BG18" i="41"/>
  <c r="BM18" i="41"/>
  <c r="AM18" i="41"/>
  <c r="AH18" i="41"/>
  <c r="AN18" i="41"/>
  <c r="D18" i="41"/>
  <c r="D11" i="23" s="1"/>
  <c r="E11" i="24" s="1"/>
  <c r="AZ18" i="41"/>
  <c r="BW18" i="41"/>
  <c r="BZ18" i="41"/>
  <c r="BP18" i="41"/>
  <c r="AT18" i="41"/>
  <c r="AQ18" i="41"/>
  <c r="AW18" i="41"/>
  <c r="AL18" i="41"/>
  <c r="BQ18" i="41"/>
  <c r="BR18" i="41"/>
  <c r="BV18" i="41"/>
  <c r="AK18" i="41"/>
  <c r="BX18" i="41"/>
  <c r="BI18" i="41"/>
  <c r="BT18" i="41"/>
  <c r="AV18" i="41"/>
  <c r="BU18" i="41"/>
  <c r="BO18" i="41"/>
  <c r="BL18" i="41"/>
  <c r="AP18" i="41"/>
  <c r="B19" i="41"/>
  <c r="A20" i="41"/>
  <c r="A13" i="23" s="1"/>
  <c r="A13" i="24" s="1"/>
  <c r="CG19" i="41" l="1"/>
  <c r="B12" i="23"/>
  <c r="B12" i="24" s="1"/>
  <c r="CI19" i="41"/>
  <c r="CJ19" i="41"/>
  <c r="CK19" i="41"/>
  <c r="CL19" i="41"/>
  <c r="CM19" i="41"/>
  <c r="CQ19" i="41"/>
  <c r="CX18" i="41"/>
  <c r="P18" i="41" s="1"/>
  <c r="CV19" i="41"/>
  <c r="CN19" i="41"/>
  <c r="CW19" i="41"/>
  <c r="CO19" i="41"/>
  <c r="CP19" i="41"/>
  <c r="CD19" i="41"/>
  <c r="CR19" i="41"/>
  <c r="CE19" i="41"/>
  <c r="CS19" i="41"/>
  <c r="CF19" i="41"/>
  <c r="CT19" i="41"/>
  <c r="CU19" i="41"/>
  <c r="CH19" i="41"/>
  <c r="N17" i="41"/>
  <c r="Q17" i="41" s="1"/>
  <c r="CA18" i="41"/>
  <c r="O18" i="41" s="1"/>
  <c r="BA18" i="41"/>
  <c r="AJ19" i="41"/>
  <c r="AG19" i="41"/>
  <c r="BB18" i="41"/>
  <c r="B20" i="41"/>
  <c r="A21" i="41"/>
  <c r="A14" i="23" s="1"/>
  <c r="A14" i="24" s="1"/>
  <c r="BU19" i="41"/>
  <c r="BO19" i="41"/>
  <c r="AH19" i="41"/>
  <c r="AU19" i="41"/>
  <c r="BX19" i="41"/>
  <c r="AZ19" i="41"/>
  <c r="BN19" i="41"/>
  <c r="BJ19" i="41"/>
  <c r="AQ19" i="41"/>
  <c r="AK19" i="41"/>
  <c r="AT19" i="41"/>
  <c r="AY19" i="41"/>
  <c r="BH19" i="41"/>
  <c r="AW19" i="41"/>
  <c r="BG19" i="41"/>
  <c r="BS19" i="41"/>
  <c r="AO19" i="41"/>
  <c r="AP19" i="41"/>
  <c r="BZ19" i="41"/>
  <c r="BV19" i="41"/>
  <c r="BK19" i="41"/>
  <c r="AS19" i="41"/>
  <c r="BT19" i="41"/>
  <c r="BR19" i="41"/>
  <c r="BL19" i="41"/>
  <c r="AV19" i="41"/>
  <c r="AM19" i="41"/>
  <c r="AI19" i="41"/>
  <c r="AX19" i="41"/>
  <c r="BQ19" i="41"/>
  <c r="BI19" i="41"/>
  <c r="BY19" i="41"/>
  <c r="AN19" i="41"/>
  <c r="BM19" i="41"/>
  <c r="BW19" i="41"/>
  <c r="BP19" i="41"/>
  <c r="AR19" i="41"/>
  <c r="AL19" i="41"/>
  <c r="D19" i="41"/>
  <c r="D12" i="23" s="1"/>
  <c r="E12" i="24" s="1"/>
  <c r="CG20" i="41" l="1"/>
  <c r="B13" i="23"/>
  <c r="B13" i="24" s="1"/>
  <c r="CI20" i="41"/>
  <c r="CK20" i="41"/>
  <c r="CL20" i="41"/>
  <c r="CM20" i="41"/>
  <c r="CJ20" i="41"/>
  <c r="CQ20" i="41"/>
  <c r="CX19" i="41"/>
  <c r="P19" i="41" s="1"/>
  <c r="Y17" i="41"/>
  <c r="N18" i="41"/>
  <c r="Q18" i="41" s="1"/>
  <c r="CR20" i="41"/>
  <c r="CS20" i="41"/>
  <c r="CT20" i="41"/>
  <c r="CU20" i="41"/>
  <c r="CV20" i="41"/>
  <c r="CN20" i="41"/>
  <c r="CD20" i="41"/>
  <c r="CW20" i="41"/>
  <c r="CO20" i="41"/>
  <c r="CE20" i="41"/>
  <c r="CP20" i="41"/>
  <c r="CF20" i="41"/>
  <c r="CH20" i="41"/>
  <c r="CA19" i="41"/>
  <c r="BA19" i="41"/>
  <c r="AG20" i="41"/>
  <c r="A22" i="41"/>
  <c r="A15" i="23" s="1"/>
  <c r="A15" i="24" s="1"/>
  <c r="B21" i="41"/>
  <c r="BL20" i="41"/>
  <c r="BH20" i="41"/>
  <c r="BK20" i="41"/>
  <c r="AH20" i="41"/>
  <c r="AK20" i="41"/>
  <c r="AV20" i="41"/>
  <c r="AO20" i="41"/>
  <c r="BW20" i="41"/>
  <c r="BG20" i="41"/>
  <c r="AZ20" i="41"/>
  <c r="AT20" i="41"/>
  <c r="AJ20" i="41"/>
  <c r="AI20" i="41"/>
  <c r="AL20" i="41"/>
  <c r="BQ20" i="41"/>
  <c r="BZ20" i="41"/>
  <c r="AN20" i="41"/>
  <c r="BM20" i="41"/>
  <c r="BR20" i="41"/>
  <c r="AY20" i="41"/>
  <c r="AW20" i="41"/>
  <c r="AS20" i="41"/>
  <c r="AM20" i="41"/>
  <c r="AR20" i="41"/>
  <c r="BX20" i="41"/>
  <c r="BI20" i="41"/>
  <c r="AQ20" i="41"/>
  <c r="AX20" i="41"/>
  <c r="BP20" i="41"/>
  <c r="BU20" i="41"/>
  <c r="BO20" i="41"/>
  <c r="D20" i="41"/>
  <c r="D13" i="23" s="1"/>
  <c r="E13" i="24" s="1"/>
  <c r="BV20" i="41"/>
  <c r="BY20" i="41"/>
  <c r="BJ20" i="41"/>
  <c r="BT20" i="41"/>
  <c r="BN20" i="41"/>
  <c r="BS20" i="41"/>
  <c r="AP20" i="41"/>
  <c r="AU20" i="41"/>
  <c r="BB19" i="41"/>
  <c r="CG21" i="41" l="1"/>
  <c r="B14" i="23"/>
  <c r="B14" i="24" s="1"/>
  <c r="CI21" i="41"/>
  <c r="CJ21" i="41"/>
  <c r="CK21" i="41"/>
  <c r="CL21" i="41"/>
  <c r="CM21" i="41"/>
  <c r="CQ21" i="41"/>
  <c r="CX20" i="41"/>
  <c r="P20" i="41" s="1"/>
  <c r="Y18" i="41"/>
  <c r="N19" i="41"/>
  <c r="CT21" i="41"/>
  <c r="CE21" i="41"/>
  <c r="CU21" i="41"/>
  <c r="CV21" i="41"/>
  <c r="CN21" i="41"/>
  <c r="CW21" i="41"/>
  <c r="CO21" i="41"/>
  <c r="CH21" i="41"/>
  <c r="CP21" i="41"/>
  <c r="CR21" i="41"/>
  <c r="CS21" i="41"/>
  <c r="CD21" i="41"/>
  <c r="CF21" i="41"/>
  <c r="CA20" i="41"/>
  <c r="O20" i="41" s="1"/>
  <c r="O19" i="41"/>
  <c r="BA20" i="41"/>
  <c r="N20" i="41" s="1"/>
  <c r="AG21" i="41"/>
  <c r="BB20" i="41"/>
  <c r="BP21" i="41"/>
  <c r="BN21" i="41"/>
  <c r="BJ21" i="41"/>
  <c r="AK21" i="41"/>
  <c r="AM21" i="41"/>
  <c r="AO21" i="41"/>
  <c r="AX21" i="41"/>
  <c r="AH21" i="41"/>
  <c r="BI21" i="41"/>
  <c r="BW21" i="41"/>
  <c r="BK21" i="41"/>
  <c r="BH21" i="41"/>
  <c r="AZ21" i="41"/>
  <c r="AT21" i="41"/>
  <c r="AU21" i="41"/>
  <c r="BZ21" i="41"/>
  <c r="BG21" i="41"/>
  <c r="AR21" i="41"/>
  <c r="AL21" i="41"/>
  <c r="D21" i="41"/>
  <c r="D14" i="23" s="1"/>
  <c r="E14" i="24" s="1"/>
  <c r="BT21" i="41"/>
  <c r="BV21" i="41"/>
  <c r="AJ21" i="41"/>
  <c r="AW21" i="41"/>
  <c r="AQ21" i="41"/>
  <c r="BL21" i="41"/>
  <c r="BR21" i="41"/>
  <c r="AY21" i="41"/>
  <c r="AP21" i="41"/>
  <c r="BX21" i="41"/>
  <c r="BQ21" i="41"/>
  <c r="AV21" i="41"/>
  <c r="AN21" i="41"/>
  <c r="BS21" i="41"/>
  <c r="BM21" i="41"/>
  <c r="AI21" i="41"/>
  <c r="BY21" i="41"/>
  <c r="BU21" i="41"/>
  <c r="BO21" i="41"/>
  <c r="AS21" i="41"/>
  <c r="A23" i="41"/>
  <c r="A16" i="23" s="1"/>
  <c r="A16" i="24" s="1"/>
  <c r="B22" i="41"/>
  <c r="CG22" i="41" l="1"/>
  <c r="B15" i="23"/>
  <c r="B15" i="24" s="1"/>
  <c r="CI22" i="41"/>
  <c r="CK22" i="41"/>
  <c r="CL22" i="41"/>
  <c r="CM22" i="41"/>
  <c r="CJ22" i="41"/>
  <c r="CQ22" i="41"/>
  <c r="CX21" i="41"/>
  <c r="P21" i="41" s="1"/>
  <c r="Q20" i="41"/>
  <c r="Q19" i="41"/>
  <c r="CW22" i="41"/>
  <c r="CO22" i="41"/>
  <c r="CP22" i="41"/>
  <c r="CE22" i="41"/>
  <c r="CR22" i="41"/>
  <c r="CF22" i="41"/>
  <c r="CS22" i="41"/>
  <c r="CT22" i="41"/>
  <c r="CH22" i="41"/>
  <c r="CU22" i="41"/>
  <c r="CV22" i="41"/>
  <c r="CN22" i="41"/>
  <c r="CD22" i="41"/>
  <c r="CA21" i="41"/>
  <c r="BA21" i="41"/>
  <c r="AG22" i="41"/>
  <c r="BT22" i="41"/>
  <c r="BY22" i="41"/>
  <c r="AL22" i="41"/>
  <c r="AI22" i="41"/>
  <c r="AW22" i="41"/>
  <c r="D22" i="41"/>
  <c r="D15" i="23" s="1"/>
  <c r="E15" i="24" s="1"/>
  <c r="BL22" i="41"/>
  <c r="BN22" i="41"/>
  <c r="AS22" i="41"/>
  <c r="AX22" i="41"/>
  <c r="AH22" i="41"/>
  <c r="AP22" i="41"/>
  <c r="AM22" i="41"/>
  <c r="BJ22" i="41"/>
  <c r="BH22" i="41"/>
  <c r="AK22" i="41"/>
  <c r="BO22" i="41"/>
  <c r="BW22" i="41"/>
  <c r="BG22" i="41"/>
  <c r="AV22" i="41"/>
  <c r="AJ22" i="41"/>
  <c r="BS22" i="41"/>
  <c r="BQ22" i="41"/>
  <c r="BZ22" i="41"/>
  <c r="AN22" i="41"/>
  <c r="AO22" i="41"/>
  <c r="AQ22" i="41"/>
  <c r="BK22" i="41"/>
  <c r="BM22" i="41"/>
  <c r="BR22" i="41"/>
  <c r="AU22" i="41"/>
  <c r="AZ22" i="41"/>
  <c r="AR22" i="41"/>
  <c r="BP22" i="41"/>
  <c r="BX22" i="41"/>
  <c r="BI22" i="41"/>
  <c r="BV22" i="41"/>
  <c r="BU22" i="41"/>
  <c r="AT22" i="41"/>
  <c r="AY22" i="41"/>
  <c r="BB21" i="41"/>
  <c r="A24" i="41"/>
  <c r="A17" i="23" s="1"/>
  <c r="A17" i="24" s="1"/>
  <c r="B23" i="41"/>
  <c r="CG23" i="41" l="1"/>
  <c r="B16" i="23"/>
  <c r="B16" i="24" s="1"/>
  <c r="CI23" i="41"/>
  <c r="CJ23" i="41"/>
  <c r="CK23" i="41"/>
  <c r="CL23" i="41"/>
  <c r="CM23" i="41"/>
  <c r="CQ23" i="41"/>
  <c r="CX22" i="41"/>
  <c r="P22" i="41" s="1"/>
  <c r="CR23" i="41"/>
  <c r="CS23" i="41"/>
  <c r="CT23" i="41"/>
  <c r="CU23" i="41"/>
  <c r="CD23" i="41"/>
  <c r="CV23" i="41"/>
  <c r="CN23" i="41"/>
  <c r="CE23" i="41"/>
  <c r="CW23" i="41"/>
  <c r="CO23" i="41"/>
  <c r="CF23" i="41"/>
  <c r="CP23" i="41"/>
  <c r="CH23" i="41"/>
  <c r="N21" i="41"/>
  <c r="CA22" i="41"/>
  <c r="O22" i="41" s="1"/>
  <c r="O21" i="41"/>
  <c r="BA22" i="41"/>
  <c r="N22" i="41" s="1"/>
  <c r="Y22" i="41" s="1"/>
  <c r="AG23" i="41"/>
  <c r="A25" i="41"/>
  <c r="A18" i="23" s="1"/>
  <c r="A18" i="24" s="1"/>
  <c r="B24" i="41"/>
  <c r="BB22" i="41"/>
  <c r="BX23" i="41"/>
  <c r="BL23" i="41"/>
  <c r="AN23" i="41"/>
  <c r="AJ23" i="41"/>
  <c r="AI23" i="41"/>
  <c r="BS23" i="41"/>
  <c r="BQ23" i="41"/>
  <c r="AX23" i="41"/>
  <c r="AU23" i="41"/>
  <c r="AY23" i="41"/>
  <c r="AM23" i="41"/>
  <c r="D23" i="41"/>
  <c r="D16" i="23" s="1"/>
  <c r="E16" i="24" s="1"/>
  <c r="AV23" i="41"/>
  <c r="BK23" i="41"/>
  <c r="BM23" i="41"/>
  <c r="AP23" i="41"/>
  <c r="AK23" i="41"/>
  <c r="BV23" i="41"/>
  <c r="BI23" i="41"/>
  <c r="BU23" i="41"/>
  <c r="AH23" i="41"/>
  <c r="AR23" i="41"/>
  <c r="AT23" i="41"/>
  <c r="AQ23" i="41"/>
  <c r="BR23" i="41"/>
  <c r="BY23" i="41"/>
  <c r="BN23" i="41"/>
  <c r="AW23" i="41"/>
  <c r="AS23" i="41"/>
  <c r="AO23" i="41"/>
  <c r="AZ23" i="41"/>
  <c r="BW23" i="41"/>
  <c r="BP23" i="41"/>
  <c r="BH23" i="41"/>
  <c r="AL23" i="41"/>
  <c r="BO23" i="41"/>
  <c r="BZ23" i="41"/>
  <c r="BG23" i="41"/>
  <c r="BJ23" i="41"/>
  <c r="BT23" i="41"/>
  <c r="CG24" i="41" l="1"/>
  <c r="B17" i="23"/>
  <c r="B17" i="24" s="1"/>
  <c r="CI24" i="41"/>
  <c r="CK24" i="41"/>
  <c r="CL24" i="41"/>
  <c r="CM24" i="41"/>
  <c r="CJ24" i="41"/>
  <c r="CQ24" i="41"/>
  <c r="CX23" i="41"/>
  <c r="P23" i="41" s="1"/>
  <c r="Q22" i="41"/>
  <c r="Q21" i="41"/>
  <c r="CU24" i="41"/>
  <c r="CV24" i="41"/>
  <c r="CN24" i="41"/>
  <c r="CW24" i="41"/>
  <c r="CO24" i="41"/>
  <c r="CP24" i="41"/>
  <c r="CR24" i="41"/>
  <c r="CD24" i="41"/>
  <c r="CS24" i="41"/>
  <c r="CT24" i="41"/>
  <c r="CH24" i="41"/>
  <c r="CE24" i="41"/>
  <c r="CF24" i="41"/>
  <c r="CA23" i="41"/>
  <c r="BA23" i="41"/>
  <c r="N23" i="41" s="1"/>
  <c r="Y23" i="41" s="1"/>
  <c r="BB23" i="41"/>
  <c r="BO24" i="41"/>
  <c r="BW24" i="41"/>
  <c r="AZ24" i="41"/>
  <c r="AP24" i="41"/>
  <c r="BJ24" i="41"/>
  <c r="BQ24" i="41"/>
  <c r="AR24" i="41"/>
  <c r="AO24" i="41"/>
  <c r="BS24" i="41"/>
  <c r="BM24" i="41"/>
  <c r="AJ24" i="41"/>
  <c r="AN24" i="41"/>
  <c r="AH24" i="41"/>
  <c r="BK24" i="41"/>
  <c r="BN24" i="41"/>
  <c r="AY24" i="41"/>
  <c r="AM24" i="41"/>
  <c r="BY24" i="41"/>
  <c r="BP24" i="41"/>
  <c r="BH24" i="41"/>
  <c r="AT24" i="41"/>
  <c r="AQ24" i="41"/>
  <c r="AX24" i="41"/>
  <c r="BZ24" i="41"/>
  <c r="BV24" i="41"/>
  <c r="BX24" i="41"/>
  <c r="AL24" i="41"/>
  <c r="AI24" i="41"/>
  <c r="D24" i="41"/>
  <c r="D17" i="23" s="1"/>
  <c r="E17" i="24" s="1"/>
  <c r="BR24" i="41"/>
  <c r="BT24" i="41"/>
  <c r="BU24" i="41"/>
  <c r="AS24" i="41"/>
  <c r="AV24" i="41"/>
  <c r="AW24" i="41"/>
  <c r="BI24" i="41"/>
  <c r="BL24" i="41"/>
  <c r="BG24" i="41"/>
  <c r="AK24" i="41"/>
  <c r="AU24" i="41"/>
  <c r="AG24" i="41"/>
  <c r="B25" i="41"/>
  <c r="A26" i="41"/>
  <c r="A19" i="23" s="1"/>
  <c r="A19" i="24" s="1"/>
  <c r="CG25" i="41" l="1"/>
  <c r="B18" i="23"/>
  <c r="B18" i="24" s="1"/>
  <c r="CI25" i="41"/>
  <c r="CJ25" i="41"/>
  <c r="CK25" i="41"/>
  <c r="CL25" i="41"/>
  <c r="CM25" i="41"/>
  <c r="CQ25" i="41"/>
  <c r="CX24" i="41"/>
  <c r="P24" i="41" s="1"/>
  <c r="CP25" i="41"/>
  <c r="CE25" i="41"/>
  <c r="CR25" i="41"/>
  <c r="CS25" i="41"/>
  <c r="CH25" i="41"/>
  <c r="CT25" i="41"/>
  <c r="CU25" i="41"/>
  <c r="CV25" i="41"/>
  <c r="CN25" i="41"/>
  <c r="CW25" i="41"/>
  <c r="CO25" i="41"/>
  <c r="CD25" i="41"/>
  <c r="CF25" i="41"/>
  <c r="CA24" i="41"/>
  <c r="O24" i="41" s="1"/>
  <c r="O23" i="41"/>
  <c r="BA24" i="41"/>
  <c r="BB24" i="41"/>
  <c r="B26" i="41"/>
  <c r="A27" i="41"/>
  <c r="A20" i="23" s="1"/>
  <c r="A20" i="24" s="1"/>
  <c r="BR25" i="41"/>
  <c r="BY25" i="41"/>
  <c r="AL25" i="41"/>
  <c r="AR25" i="41"/>
  <c r="AO25" i="41"/>
  <c r="BI25" i="41"/>
  <c r="BP25" i="41"/>
  <c r="AS25" i="41"/>
  <c r="AQ25" i="41"/>
  <c r="D25" i="41"/>
  <c r="D18" i="23" s="1"/>
  <c r="E18" i="24" s="1"/>
  <c r="AY25" i="41"/>
  <c r="AW25" i="41"/>
  <c r="AT25" i="41"/>
  <c r="BW25" i="41"/>
  <c r="BZ25" i="41"/>
  <c r="AK25" i="41"/>
  <c r="AP25" i="41"/>
  <c r="AJ25" i="41"/>
  <c r="AI25" i="41"/>
  <c r="BU25" i="41"/>
  <c r="BO25" i="41"/>
  <c r="BT25" i="41"/>
  <c r="AV25" i="41"/>
  <c r="AX25" i="41"/>
  <c r="BK25" i="41"/>
  <c r="BN25" i="41"/>
  <c r="BJ25" i="41"/>
  <c r="BL25" i="41"/>
  <c r="AN25" i="41"/>
  <c r="BH25" i="41"/>
  <c r="BX25" i="41"/>
  <c r="BQ25" i="41"/>
  <c r="AU25" i="41"/>
  <c r="AH25" i="41"/>
  <c r="AZ25" i="41"/>
  <c r="BV25" i="41"/>
  <c r="BG25" i="41"/>
  <c r="BS25" i="41"/>
  <c r="BM25" i="41"/>
  <c r="AM25" i="41"/>
  <c r="AG25" i="41"/>
  <c r="CG26" i="41" l="1"/>
  <c r="B19" i="23"/>
  <c r="B19" i="24" s="1"/>
  <c r="Q23" i="41"/>
  <c r="Z23" i="41"/>
  <c r="CI26" i="41"/>
  <c r="CK26" i="41"/>
  <c r="CL26" i="41"/>
  <c r="CM26" i="41"/>
  <c r="CJ26" i="41"/>
  <c r="CQ26" i="41"/>
  <c r="CX25" i="41"/>
  <c r="P25" i="41" s="1"/>
  <c r="CS26" i="41"/>
  <c r="CT26" i="41"/>
  <c r="CU26" i="41"/>
  <c r="CE26" i="41"/>
  <c r="CV26" i="41"/>
  <c r="CN26" i="41"/>
  <c r="CF26" i="41"/>
  <c r="CW26" i="41"/>
  <c r="CO26" i="41"/>
  <c r="CP26" i="41"/>
  <c r="CH26" i="41"/>
  <c r="CR26" i="41"/>
  <c r="CD26" i="41"/>
  <c r="N24" i="41"/>
  <c r="Q24" i="41" s="1"/>
  <c r="CA25" i="41"/>
  <c r="BA25" i="41"/>
  <c r="N25" i="41" s="1"/>
  <c r="A28" i="41"/>
  <c r="A21" i="23" s="1"/>
  <c r="A21" i="24" s="1"/>
  <c r="B27" i="41"/>
  <c r="BH26" i="41"/>
  <c r="BS26" i="41"/>
  <c r="AY26" i="41"/>
  <c r="AW26" i="41"/>
  <c r="AR26" i="41"/>
  <c r="BG26" i="41"/>
  <c r="BK26" i="41"/>
  <c r="AQ26" i="41"/>
  <c r="AN26" i="41"/>
  <c r="AI26" i="41"/>
  <c r="AU26" i="41"/>
  <c r="BW26" i="41"/>
  <c r="BM26" i="41"/>
  <c r="BP26" i="41"/>
  <c r="AX26" i="41"/>
  <c r="AV26" i="41"/>
  <c r="AT26" i="41"/>
  <c r="D26" i="41"/>
  <c r="D19" i="23" s="1"/>
  <c r="E19" i="24" s="1"/>
  <c r="BR26" i="41"/>
  <c r="BQ26" i="41"/>
  <c r="BZ26" i="41"/>
  <c r="BV26" i="41"/>
  <c r="AP26" i="41"/>
  <c r="AM26" i="41"/>
  <c r="AK26" i="41"/>
  <c r="BT26" i="41"/>
  <c r="BX26" i="41"/>
  <c r="AH26" i="41"/>
  <c r="BU26" i="41"/>
  <c r="BI26" i="41"/>
  <c r="BL26" i="41"/>
  <c r="AZ26" i="41"/>
  <c r="AL26" i="41"/>
  <c r="BY26" i="41"/>
  <c r="BO26" i="41"/>
  <c r="AO26" i="41"/>
  <c r="AS26" i="41"/>
  <c r="BN26" i="41"/>
  <c r="BJ26" i="41"/>
  <c r="AG26" i="41"/>
  <c r="AJ26" i="41"/>
  <c r="BB25" i="41"/>
  <c r="CG27" i="41" l="1"/>
  <c r="B20" i="23"/>
  <c r="B20" i="24" s="1"/>
  <c r="CI27" i="41"/>
  <c r="CJ27" i="41"/>
  <c r="CK27" i="41"/>
  <c r="CL27" i="41"/>
  <c r="CM27" i="41"/>
  <c r="CQ27" i="41"/>
  <c r="CX26" i="41"/>
  <c r="P26" i="41" s="1"/>
  <c r="Y25" i="41"/>
  <c r="CV27" i="41"/>
  <c r="CN27" i="41"/>
  <c r="CW27" i="41"/>
  <c r="CO27" i="41"/>
  <c r="CP27" i="41"/>
  <c r="CD27" i="41"/>
  <c r="CR27" i="41"/>
  <c r="CE27" i="41"/>
  <c r="CS27" i="41"/>
  <c r="CF27" i="41"/>
  <c r="CT27" i="41"/>
  <c r="CU27" i="41"/>
  <c r="CH27" i="41"/>
  <c r="CA26" i="41"/>
  <c r="O26" i="41" s="1"/>
  <c r="O25" i="41"/>
  <c r="Z25" i="41" s="1"/>
  <c r="BA26" i="41"/>
  <c r="BB26" i="41"/>
  <c r="BH27" i="41"/>
  <c r="BJ27" i="41"/>
  <c r="AM27" i="41"/>
  <c r="AV27" i="41"/>
  <c r="AH27" i="41"/>
  <c r="AP27" i="41"/>
  <c r="AR27" i="41"/>
  <c r="BG27" i="41"/>
  <c r="BX27" i="41"/>
  <c r="AT27" i="41"/>
  <c r="AQ27" i="41"/>
  <c r="AW27" i="41"/>
  <c r="BZ27" i="41"/>
  <c r="BL27" i="41"/>
  <c r="BS27" i="41"/>
  <c r="AL27" i="41"/>
  <c r="AG27" i="41"/>
  <c r="BT27" i="41"/>
  <c r="BV27" i="41"/>
  <c r="BK27" i="41"/>
  <c r="AS27" i="41"/>
  <c r="AO27" i="41"/>
  <c r="D27" i="41"/>
  <c r="D20" i="23" s="1"/>
  <c r="E20" i="24" s="1"/>
  <c r="AN27" i="41"/>
  <c r="BP27" i="41"/>
  <c r="AJ27" i="41"/>
  <c r="BQ27" i="41"/>
  <c r="BR27" i="41"/>
  <c r="BY27" i="41"/>
  <c r="AK27" i="41"/>
  <c r="AZ27" i="41"/>
  <c r="BM27" i="41"/>
  <c r="BI27" i="41"/>
  <c r="AY27" i="41"/>
  <c r="AX27" i="41"/>
  <c r="BU27" i="41"/>
  <c r="BW27" i="41"/>
  <c r="AI27" i="41"/>
  <c r="BN27" i="41"/>
  <c r="BO27" i="41"/>
  <c r="AU27" i="41"/>
  <c r="B28" i="41"/>
  <c r="A29" i="41"/>
  <c r="A22" i="23" s="1"/>
  <c r="A22" i="24" s="1"/>
  <c r="CG28" i="41" l="1"/>
  <c r="B21" i="23"/>
  <c r="B21" i="24" s="1"/>
  <c r="CI28" i="41"/>
  <c r="CK28" i="41"/>
  <c r="CL28" i="41"/>
  <c r="CM28" i="41"/>
  <c r="CJ28" i="41"/>
  <c r="CQ28" i="41"/>
  <c r="CX27" i="41"/>
  <c r="P27" i="41" s="1"/>
  <c r="Q25" i="41"/>
  <c r="CR28" i="41"/>
  <c r="CS28" i="41"/>
  <c r="CT28" i="41"/>
  <c r="CU28" i="41"/>
  <c r="CV28" i="41"/>
  <c r="CN28" i="41"/>
  <c r="CD28" i="41"/>
  <c r="CW28" i="41"/>
  <c r="CO28" i="41"/>
  <c r="CP28" i="41"/>
  <c r="CE28" i="41"/>
  <c r="CF28" i="41"/>
  <c r="CH28" i="41"/>
  <c r="N26" i="41"/>
  <c r="Q26" i="41" s="1"/>
  <c r="CA27" i="41"/>
  <c r="BA27" i="41"/>
  <c r="BB27" i="41"/>
  <c r="B29" i="41"/>
  <c r="A30" i="41"/>
  <c r="A23" i="23" s="1"/>
  <c r="A23" i="24" s="1"/>
  <c r="BM28" i="41"/>
  <c r="BR28" i="41"/>
  <c r="AW28" i="41"/>
  <c r="AL28" i="41"/>
  <c r="AZ28" i="41"/>
  <c r="BX28" i="41"/>
  <c r="BI28" i="41"/>
  <c r="AO28" i="41"/>
  <c r="AX28" i="41"/>
  <c r="AJ28" i="41"/>
  <c r="AI28" i="41"/>
  <c r="BP28" i="41"/>
  <c r="BU28" i="41"/>
  <c r="BO28" i="41"/>
  <c r="AG28" i="41"/>
  <c r="AH28" i="41"/>
  <c r="AY28" i="41"/>
  <c r="AS28" i="41"/>
  <c r="BT28" i="41"/>
  <c r="BN28" i="41"/>
  <c r="BS28" i="41"/>
  <c r="AN28" i="41"/>
  <c r="AR28" i="41"/>
  <c r="D28" i="41"/>
  <c r="D21" i="23" s="1"/>
  <c r="E21" i="24" s="1"/>
  <c r="AQ28" i="41"/>
  <c r="AP28" i="41"/>
  <c r="AV28" i="41"/>
  <c r="BL28" i="41"/>
  <c r="BH28" i="41"/>
  <c r="BK28" i="41"/>
  <c r="AU28" i="41"/>
  <c r="BJ28" i="41"/>
  <c r="BW28" i="41"/>
  <c r="BG28" i="41"/>
  <c r="AM28" i="41"/>
  <c r="BY28" i="41"/>
  <c r="BQ28" i="41"/>
  <c r="BZ28" i="41"/>
  <c r="AT28" i="41"/>
  <c r="AK28" i="41"/>
  <c r="BV28" i="41"/>
  <c r="CG29" i="41" l="1"/>
  <c r="B22" i="23"/>
  <c r="B22" i="24" s="1"/>
  <c r="CI29" i="41"/>
  <c r="CJ29" i="41"/>
  <c r="CK29" i="41"/>
  <c r="CL29" i="41"/>
  <c r="CM29" i="41"/>
  <c r="CQ29" i="41"/>
  <c r="CX28" i="41"/>
  <c r="P28" i="41" s="1"/>
  <c r="CT29" i="41"/>
  <c r="CE29" i="41"/>
  <c r="CU29" i="41"/>
  <c r="CV29" i="41"/>
  <c r="CN29" i="41"/>
  <c r="CW29" i="41"/>
  <c r="CO29" i="41"/>
  <c r="CH29" i="41"/>
  <c r="CP29" i="41"/>
  <c r="CR29" i="41"/>
  <c r="CS29" i="41"/>
  <c r="CD29" i="41"/>
  <c r="CF29" i="41"/>
  <c r="N27" i="41"/>
  <c r="Y27" i="41" s="1"/>
  <c r="CA28" i="41"/>
  <c r="O28" i="41" s="1"/>
  <c r="O27" i="41"/>
  <c r="BA28" i="41"/>
  <c r="N28" i="41" s="1"/>
  <c r="BB28" i="41"/>
  <c r="A31" i="41"/>
  <c r="A24" i="23" s="1"/>
  <c r="A24" i="24" s="1"/>
  <c r="B30" i="41"/>
  <c r="BL29" i="41"/>
  <c r="BV29" i="41"/>
  <c r="AQ29" i="41"/>
  <c r="AV29" i="41"/>
  <c r="AM29" i="41"/>
  <c r="BK29" i="41"/>
  <c r="BR29" i="41"/>
  <c r="AI29" i="41"/>
  <c r="AN29" i="41"/>
  <c r="AL29" i="41"/>
  <c r="AX29" i="41"/>
  <c r="AK29" i="41"/>
  <c r="BX29" i="41"/>
  <c r="BQ29" i="41"/>
  <c r="BI29" i="41"/>
  <c r="AZ29" i="41"/>
  <c r="AJ29" i="41"/>
  <c r="BY29" i="41"/>
  <c r="BU29" i="41"/>
  <c r="BO29" i="41"/>
  <c r="AH29" i="41"/>
  <c r="AU29" i="41"/>
  <c r="D29" i="41"/>
  <c r="D22" i="23" s="1"/>
  <c r="E22" i="24" s="1"/>
  <c r="BJ29" i="41"/>
  <c r="AT29" i="41"/>
  <c r="AS29" i="41"/>
  <c r="BM29" i="41"/>
  <c r="BP29" i="41"/>
  <c r="BN29" i="41"/>
  <c r="AW29" i="41"/>
  <c r="BS29" i="41"/>
  <c r="BZ29" i="41"/>
  <c r="BH29" i="41"/>
  <c r="AO29" i="41"/>
  <c r="AP29" i="41"/>
  <c r="BT29" i="41"/>
  <c r="BG29" i="41"/>
  <c r="AY29" i="41"/>
  <c r="AG29" i="41"/>
  <c r="AR29" i="41"/>
  <c r="BW29" i="41"/>
  <c r="CG30" i="41" l="1"/>
  <c r="B23" i="23"/>
  <c r="B23" i="24" s="1"/>
  <c r="CI30" i="41"/>
  <c r="CK30" i="41"/>
  <c r="CL30" i="41"/>
  <c r="CM30" i="41"/>
  <c r="CJ30" i="41"/>
  <c r="CQ30" i="41"/>
  <c r="CX29" i="41"/>
  <c r="P29" i="41" s="1"/>
  <c r="Q28" i="41"/>
  <c r="Q27" i="41"/>
  <c r="CW30" i="41"/>
  <c r="CO30" i="41"/>
  <c r="CP30" i="41"/>
  <c r="CE30" i="41"/>
  <c r="CR30" i="41"/>
  <c r="CF30" i="41"/>
  <c r="CS30" i="41"/>
  <c r="CT30" i="41"/>
  <c r="CU30" i="41"/>
  <c r="CV30" i="41"/>
  <c r="CN30" i="41"/>
  <c r="CD30" i="41"/>
  <c r="CH30" i="41"/>
  <c r="CA29" i="41"/>
  <c r="O29" i="41" s="1"/>
  <c r="BA29" i="41"/>
  <c r="N29" i="41" s="1"/>
  <c r="BB29" i="41"/>
  <c r="BW30" i="41"/>
  <c r="BH30" i="41"/>
  <c r="AZ30" i="41"/>
  <c r="AH30" i="41"/>
  <c r="AN30" i="41"/>
  <c r="AW30" i="41"/>
  <c r="BS30" i="41"/>
  <c r="BQ30" i="41"/>
  <c r="BJ30" i="41"/>
  <c r="AR30" i="41"/>
  <c r="AL30" i="41"/>
  <c r="AM30" i="41"/>
  <c r="AJ30" i="41"/>
  <c r="AQ30" i="41"/>
  <c r="BK30" i="41"/>
  <c r="BM30" i="41"/>
  <c r="BZ30" i="41"/>
  <c r="AV30" i="41"/>
  <c r="AT30" i="41"/>
  <c r="BP30" i="41"/>
  <c r="BO30" i="41"/>
  <c r="BR30" i="41"/>
  <c r="AY30" i="41"/>
  <c r="AG30" i="41"/>
  <c r="D30" i="41"/>
  <c r="D23" i="23" s="1"/>
  <c r="E23" i="24" s="1"/>
  <c r="BV30" i="41"/>
  <c r="BI30" i="41"/>
  <c r="BX30" i="41"/>
  <c r="BT30" i="41"/>
  <c r="BU30" i="41"/>
  <c r="AI30" i="41"/>
  <c r="AU30" i="41"/>
  <c r="BL30" i="41"/>
  <c r="BY30" i="41"/>
  <c r="AS30" i="41"/>
  <c r="AX30" i="41"/>
  <c r="BG30" i="41"/>
  <c r="BN30" i="41"/>
  <c r="AK30" i="41"/>
  <c r="AP30" i="41"/>
  <c r="AO30" i="41"/>
  <c r="A32" i="41"/>
  <c r="A25" i="23" s="1"/>
  <c r="A25" i="24" s="1"/>
  <c r="B31" i="41"/>
  <c r="CG31" i="41" l="1"/>
  <c r="B24" i="23"/>
  <c r="B24" i="24" s="1"/>
  <c r="CI31" i="41"/>
  <c r="CJ31" i="41"/>
  <c r="CK31" i="41"/>
  <c r="CL31" i="41"/>
  <c r="CM31" i="41"/>
  <c r="CQ31" i="41"/>
  <c r="CX30" i="41"/>
  <c r="P30" i="41" s="1"/>
  <c r="Q29" i="41"/>
  <c r="CR31" i="41"/>
  <c r="CS31" i="41"/>
  <c r="CT31" i="41"/>
  <c r="CU31" i="41"/>
  <c r="CD31" i="41"/>
  <c r="CV31" i="41"/>
  <c r="CN31" i="41"/>
  <c r="CE31" i="41"/>
  <c r="CW31" i="41"/>
  <c r="CO31" i="41"/>
  <c r="CP31" i="41"/>
  <c r="CF31" i="41"/>
  <c r="CH31" i="41"/>
  <c r="CA30" i="41"/>
  <c r="O30" i="41" s="1"/>
  <c r="BA30" i="41"/>
  <c r="BS31" i="41"/>
  <c r="BM31" i="41"/>
  <c r="AM31" i="41"/>
  <c r="AN31" i="41"/>
  <c r="AQ31" i="41"/>
  <c r="BI31" i="41"/>
  <c r="BK31" i="41"/>
  <c r="BU31" i="41"/>
  <c r="AT31" i="41"/>
  <c r="AY31" i="41"/>
  <c r="AP31" i="41"/>
  <c r="BV31" i="41"/>
  <c r="BY31" i="41"/>
  <c r="BN31" i="41"/>
  <c r="AL31" i="41"/>
  <c r="AI31" i="41"/>
  <c r="AO31" i="41"/>
  <c r="D31" i="41"/>
  <c r="D24" i="23" s="1"/>
  <c r="E24" i="24" s="1"/>
  <c r="AW31" i="41"/>
  <c r="BR31" i="41"/>
  <c r="BP31" i="41"/>
  <c r="BH31" i="41"/>
  <c r="AS31" i="41"/>
  <c r="AX31" i="41"/>
  <c r="AK31" i="41"/>
  <c r="AZ31" i="41"/>
  <c r="BW31" i="41"/>
  <c r="BZ31" i="41"/>
  <c r="BG31" i="41"/>
  <c r="AH31" i="41"/>
  <c r="AR31" i="41"/>
  <c r="BO31" i="41"/>
  <c r="BT31" i="41"/>
  <c r="BJ31" i="41"/>
  <c r="BL31" i="41"/>
  <c r="AG31" i="41"/>
  <c r="BX31" i="41"/>
  <c r="BQ31" i="41"/>
  <c r="AU31" i="41"/>
  <c r="AJ31" i="41"/>
  <c r="AV31" i="41"/>
  <c r="A33" i="41"/>
  <c r="A26" i="23" s="1"/>
  <c r="A26" i="24" s="1"/>
  <c r="B32" i="41"/>
  <c r="BB30" i="41"/>
  <c r="CG32" i="41" l="1"/>
  <c r="B25" i="23"/>
  <c r="B25" i="24" s="1"/>
  <c r="CI32" i="41"/>
  <c r="CK32" i="41"/>
  <c r="CL32" i="41"/>
  <c r="CM32" i="41"/>
  <c r="CJ32" i="41"/>
  <c r="CQ32" i="41"/>
  <c r="CX31" i="41"/>
  <c r="P31" i="41" s="1"/>
  <c r="N30" i="41"/>
  <c r="Q30" i="41" s="1"/>
  <c r="CU32" i="41"/>
  <c r="CV32" i="41"/>
  <c r="CW32" i="41"/>
  <c r="CO32" i="41"/>
  <c r="CP32" i="41"/>
  <c r="CR32" i="41"/>
  <c r="CS32" i="41"/>
  <c r="CT32" i="41"/>
  <c r="CN32" i="41"/>
  <c r="CF32" i="41"/>
  <c r="CH32" i="41"/>
  <c r="CD32" i="41"/>
  <c r="CE32" i="41"/>
  <c r="BA31" i="41"/>
  <c r="N31" i="41" s="1"/>
  <c r="CA31" i="41"/>
  <c r="O31" i="41" s="1"/>
  <c r="BB31" i="41"/>
  <c r="BJ32" i="41"/>
  <c r="BL32" i="41"/>
  <c r="AN32" i="41"/>
  <c r="AK32" i="41"/>
  <c r="AT32" i="41"/>
  <c r="BH32" i="41"/>
  <c r="BW32" i="41"/>
  <c r="AX32" i="41"/>
  <c r="AU32" i="41"/>
  <c r="AJ32" i="41"/>
  <c r="AM32" i="41"/>
  <c r="AH32" i="41"/>
  <c r="AG32" i="41"/>
  <c r="BS32" i="41"/>
  <c r="BQ32" i="41"/>
  <c r="AP32" i="41"/>
  <c r="AI32" i="41"/>
  <c r="AZ32" i="41"/>
  <c r="BY32" i="41"/>
  <c r="BK32" i="41"/>
  <c r="BM32" i="41"/>
  <c r="BZ32" i="41"/>
  <c r="BP32" i="41"/>
  <c r="BX32" i="41"/>
  <c r="AW32" i="41"/>
  <c r="AL32" i="41"/>
  <c r="AY32" i="41"/>
  <c r="D32" i="41"/>
  <c r="D25" i="23" s="1"/>
  <c r="E25" i="24" s="1"/>
  <c r="AO32" i="41"/>
  <c r="AR32" i="41"/>
  <c r="BR32" i="41"/>
  <c r="BG32" i="41"/>
  <c r="BU32" i="41"/>
  <c r="AS32" i="41"/>
  <c r="BI32" i="41"/>
  <c r="BV32" i="41"/>
  <c r="BN32" i="41"/>
  <c r="BO32" i="41"/>
  <c r="BT32" i="41"/>
  <c r="AV32" i="41"/>
  <c r="AQ32" i="41"/>
  <c r="B33" i="41"/>
  <c r="A34" i="41"/>
  <c r="A27" i="23" s="1"/>
  <c r="A27" i="24" s="1"/>
  <c r="CG33" i="41" l="1"/>
  <c r="B26" i="23"/>
  <c r="B26" i="24" s="1"/>
  <c r="CI33" i="41"/>
  <c r="CJ33" i="41"/>
  <c r="CK33" i="41"/>
  <c r="CL33" i="41"/>
  <c r="CM33" i="41"/>
  <c r="CQ33" i="41"/>
  <c r="CX32" i="41"/>
  <c r="P32" i="41" s="1"/>
  <c r="Q31" i="41"/>
  <c r="CP33" i="41"/>
  <c r="CE33" i="41"/>
  <c r="CR33" i="41"/>
  <c r="CS33" i="41"/>
  <c r="CH33" i="41"/>
  <c r="CT33" i="41"/>
  <c r="CU33" i="41"/>
  <c r="CV33" i="41"/>
  <c r="CN33" i="41"/>
  <c r="CW33" i="41"/>
  <c r="CO33" i="41"/>
  <c r="CD33" i="41"/>
  <c r="CF33" i="41"/>
  <c r="CA32" i="41"/>
  <c r="O32" i="41" s="1"/>
  <c r="BA32" i="41"/>
  <c r="BI33" i="41"/>
  <c r="BP33" i="41"/>
  <c r="AI33" i="41"/>
  <c r="AN33" i="41"/>
  <c r="AH33" i="41"/>
  <c r="AT33" i="41"/>
  <c r="BW33" i="41"/>
  <c r="BZ33" i="41"/>
  <c r="AX33" i="41"/>
  <c r="AS33" i="41"/>
  <c r="AZ33" i="41"/>
  <c r="AY33" i="41"/>
  <c r="BU33" i="41"/>
  <c r="BO33" i="41"/>
  <c r="BT33" i="41"/>
  <c r="AP33" i="41"/>
  <c r="AM33" i="41"/>
  <c r="AG33" i="41"/>
  <c r="BN33" i="41"/>
  <c r="BJ33" i="41"/>
  <c r="BL33" i="41"/>
  <c r="AL33" i="41"/>
  <c r="BH33" i="41"/>
  <c r="BX33" i="41"/>
  <c r="BQ33" i="41"/>
  <c r="AR33" i="41"/>
  <c r="AW33" i="41"/>
  <c r="AK33" i="41"/>
  <c r="D33" i="41"/>
  <c r="D26" i="23" s="1"/>
  <c r="E26" i="24" s="1"/>
  <c r="BG33" i="41"/>
  <c r="BS33" i="41"/>
  <c r="BM33" i="41"/>
  <c r="AJ33" i="41"/>
  <c r="AO33" i="41"/>
  <c r="AU33" i="41"/>
  <c r="BV33" i="41"/>
  <c r="BK33" i="41"/>
  <c r="BR33" i="41"/>
  <c r="BY33" i="41"/>
  <c r="AQ33" i="41"/>
  <c r="AV33" i="41"/>
  <c r="A35" i="41"/>
  <c r="A28" i="23" s="1"/>
  <c r="A28" i="24" s="1"/>
  <c r="B34" i="41"/>
  <c r="BB32" i="41"/>
  <c r="CG34" i="41" l="1"/>
  <c r="B27" i="23"/>
  <c r="B27" i="24" s="1"/>
  <c r="CI34" i="41"/>
  <c r="CK34" i="41"/>
  <c r="CL34" i="41"/>
  <c r="CM34" i="41"/>
  <c r="CJ34" i="41"/>
  <c r="CQ34" i="41"/>
  <c r="CX33" i="41"/>
  <c r="P33" i="41" s="1"/>
  <c r="N32" i="41"/>
  <c r="Q32" i="41" s="1"/>
  <c r="CS34" i="41"/>
  <c r="CT34" i="41"/>
  <c r="CU34" i="41"/>
  <c r="CE34" i="41"/>
  <c r="CV34" i="41"/>
  <c r="CN34" i="41"/>
  <c r="CF34" i="41"/>
  <c r="CW34" i="41"/>
  <c r="CO34" i="41"/>
  <c r="CP34" i="41"/>
  <c r="CR34" i="41"/>
  <c r="CD34" i="41"/>
  <c r="CH34" i="41"/>
  <c r="CA33" i="41"/>
  <c r="O33" i="41" s="1"/>
  <c r="J36" i="61" s="1"/>
  <c r="BA33" i="41"/>
  <c r="N33" i="41" s="1"/>
  <c r="BY34" i="41"/>
  <c r="BJ34" i="41"/>
  <c r="AZ34" i="41"/>
  <c r="AH34" i="41"/>
  <c r="AM34" i="41"/>
  <c r="BP34" i="41"/>
  <c r="AG34" i="41"/>
  <c r="BN34" i="41"/>
  <c r="BS34" i="41"/>
  <c r="AR34" i="41"/>
  <c r="AN34" i="41"/>
  <c r="BW34" i="41"/>
  <c r="AY34" i="41"/>
  <c r="BH34" i="41"/>
  <c r="BK34" i="41"/>
  <c r="AJ34" i="41"/>
  <c r="BG34" i="41"/>
  <c r="BQ34" i="41"/>
  <c r="BZ34" i="41"/>
  <c r="BV34" i="41"/>
  <c r="AT34" i="41"/>
  <c r="AQ34" i="41"/>
  <c r="AW34" i="41"/>
  <c r="D34" i="41"/>
  <c r="D27" i="23" s="1"/>
  <c r="E27" i="24" s="1"/>
  <c r="BX34" i="41"/>
  <c r="BR34" i="41"/>
  <c r="BT34" i="41"/>
  <c r="AL34" i="41"/>
  <c r="AI34" i="41"/>
  <c r="AV34" i="41"/>
  <c r="BU34" i="41"/>
  <c r="BI34" i="41"/>
  <c r="BL34" i="41"/>
  <c r="AS34" i="41"/>
  <c r="AX34" i="41"/>
  <c r="AU34" i="41"/>
  <c r="BM34" i="41"/>
  <c r="BO34" i="41"/>
  <c r="AK34" i="41"/>
  <c r="AP34" i="41"/>
  <c r="AO34" i="41"/>
  <c r="BB33" i="41"/>
  <c r="B35" i="41"/>
  <c r="A36" i="41"/>
  <c r="A29" i="23" s="1"/>
  <c r="A29" i="24" s="1"/>
  <c r="CG35" i="41" l="1"/>
  <c r="B28" i="23"/>
  <c r="B28" i="24" s="1"/>
  <c r="CI35" i="41"/>
  <c r="CJ35" i="41"/>
  <c r="CK35" i="41"/>
  <c r="CL35" i="41"/>
  <c r="CM35" i="41"/>
  <c r="CQ35" i="41"/>
  <c r="CX34" i="41"/>
  <c r="P34" i="41" s="1"/>
  <c r="Q33" i="41"/>
  <c r="Y33" i="41"/>
  <c r="CV35" i="41"/>
  <c r="CN35" i="41"/>
  <c r="CW35" i="41"/>
  <c r="CP35" i="41"/>
  <c r="CD35" i="41"/>
  <c r="CR35" i="41"/>
  <c r="CE35" i="41"/>
  <c r="CS35" i="41"/>
  <c r="CT35" i="41"/>
  <c r="CU35" i="41"/>
  <c r="CH35" i="41"/>
  <c r="CO35" i="41"/>
  <c r="CF35" i="41"/>
  <c r="CA34" i="41"/>
  <c r="O34" i="41" s="1"/>
  <c r="BA34" i="41"/>
  <c r="N34" i="41" s="1"/>
  <c r="B36" i="41"/>
  <c r="A37" i="41"/>
  <c r="A30" i="23" s="1"/>
  <c r="A30" i="24" s="1"/>
  <c r="BN35" i="41"/>
  <c r="BJ35" i="41"/>
  <c r="AT35" i="41"/>
  <c r="AQ35" i="41"/>
  <c r="AH35" i="41"/>
  <c r="BK35" i="41"/>
  <c r="AP35" i="41"/>
  <c r="BH35" i="41"/>
  <c r="BX35" i="41"/>
  <c r="AL35" i="41"/>
  <c r="AI35" i="41"/>
  <c r="AG35" i="41"/>
  <c r="AJ35" i="41"/>
  <c r="BG35" i="41"/>
  <c r="BS35" i="41"/>
  <c r="AS35" i="41"/>
  <c r="BZ35" i="41"/>
  <c r="BV35" i="41"/>
  <c r="AK35" i="41"/>
  <c r="BT35" i="41"/>
  <c r="BR35" i="41"/>
  <c r="BY35" i="41"/>
  <c r="AV35" i="41"/>
  <c r="AZ35" i="41"/>
  <c r="AX35" i="41"/>
  <c r="D35" i="41"/>
  <c r="D28" i="23" s="1"/>
  <c r="E28" i="24" s="1"/>
  <c r="BQ35" i="41"/>
  <c r="BI35" i="41"/>
  <c r="BP35" i="41"/>
  <c r="AN35" i="41"/>
  <c r="AR35" i="41"/>
  <c r="AW35" i="41"/>
  <c r="AO35" i="41"/>
  <c r="BM35" i="41"/>
  <c r="BW35" i="41"/>
  <c r="BL35" i="41"/>
  <c r="AU35" i="41"/>
  <c r="BU35" i="41"/>
  <c r="BO35" i="41"/>
  <c r="AM35" i="41"/>
  <c r="AY35" i="41"/>
  <c r="BB34" i="41"/>
  <c r="CG36" i="41" l="1"/>
  <c r="B29" i="23"/>
  <c r="B29" i="24" s="1"/>
  <c r="CI36" i="41"/>
  <c r="CK36" i="41"/>
  <c r="CL36" i="41"/>
  <c r="CM36" i="41"/>
  <c r="CJ36" i="41"/>
  <c r="CQ36" i="41"/>
  <c r="CX35" i="41"/>
  <c r="P35" i="41" s="1"/>
  <c r="Q34" i="41"/>
  <c r="CS36" i="41"/>
  <c r="CT36" i="41"/>
  <c r="CU36" i="41"/>
  <c r="CV36" i="41"/>
  <c r="CN36" i="41"/>
  <c r="CW36" i="41"/>
  <c r="CO36" i="41"/>
  <c r="CP36" i="41"/>
  <c r="CH36" i="41"/>
  <c r="CF36" i="41"/>
  <c r="CD36" i="41"/>
  <c r="CR36" i="41"/>
  <c r="CE36" i="41"/>
  <c r="CA35" i="41"/>
  <c r="O35" i="41" s="1"/>
  <c r="BA35" i="41"/>
  <c r="N35" i="41" s="1"/>
  <c r="BB35" i="41"/>
  <c r="A38" i="41"/>
  <c r="A31" i="23" s="1"/>
  <c r="A31" i="24" s="1"/>
  <c r="B37" i="41"/>
  <c r="BM36" i="41"/>
  <c r="BR36" i="41"/>
  <c r="AV36" i="41"/>
  <c r="AZ36" i="41"/>
  <c r="AU36" i="41"/>
  <c r="AM36" i="41"/>
  <c r="D36" i="41"/>
  <c r="D29" i="23" s="1"/>
  <c r="E29" i="24" s="1"/>
  <c r="BX36" i="41"/>
  <c r="BI36" i="41"/>
  <c r="AN36" i="41"/>
  <c r="AY36" i="41"/>
  <c r="AR36" i="41"/>
  <c r="AQ36" i="41"/>
  <c r="AI36" i="41"/>
  <c r="BP36" i="41"/>
  <c r="BU36" i="41"/>
  <c r="BO36" i="41"/>
  <c r="AX36" i="41"/>
  <c r="AS36" i="41"/>
  <c r="BV36" i="41"/>
  <c r="BY36" i="41"/>
  <c r="BJ36" i="41"/>
  <c r="AP36" i="41"/>
  <c r="BT36" i="41"/>
  <c r="BN36" i="41"/>
  <c r="BS36" i="41"/>
  <c r="AH36" i="41"/>
  <c r="AT36" i="41"/>
  <c r="AJ36" i="41"/>
  <c r="BL36" i="41"/>
  <c r="BH36" i="41"/>
  <c r="BK36" i="41"/>
  <c r="AW36" i="41"/>
  <c r="AL36" i="41"/>
  <c r="BW36" i="41"/>
  <c r="BG36" i="41"/>
  <c r="AO36" i="41"/>
  <c r="BQ36" i="41"/>
  <c r="BZ36" i="41"/>
  <c r="AG36" i="41"/>
  <c r="AK36" i="41"/>
  <c r="CG37" i="41" l="1"/>
  <c r="B30" i="23"/>
  <c r="B30" i="24" s="1"/>
  <c r="CI37" i="41"/>
  <c r="CJ37" i="41"/>
  <c r="CK37" i="41"/>
  <c r="CL37" i="41"/>
  <c r="CM37" i="41"/>
  <c r="CQ37" i="41"/>
  <c r="CX36" i="41"/>
  <c r="P36" i="41" s="1"/>
  <c r="Q35" i="41"/>
  <c r="CT37" i="41"/>
  <c r="CE37" i="41"/>
  <c r="CU37" i="41"/>
  <c r="CV37" i="41"/>
  <c r="CN37" i="41"/>
  <c r="CW37" i="41"/>
  <c r="CO37" i="41"/>
  <c r="CH37" i="41"/>
  <c r="CP37" i="41"/>
  <c r="CR37" i="41"/>
  <c r="CS37" i="41"/>
  <c r="CD37" i="41"/>
  <c r="CF37" i="41"/>
  <c r="CA36" i="41"/>
  <c r="O36" i="41" s="1"/>
  <c r="BA36" i="41"/>
  <c r="N36" i="41" s="1"/>
  <c r="BB36" i="41"/>
  <c r="BL37" i="41"/>
  <c r="BV37" i="41"/>
  <c r="AX37" i="41"/>
  <c r="AU37" i="41"/>
  <c r="AT37" i="41"/>
  <c r="AW37" i="41"/>
  <c r="BQ37" i="41"/>
  <c r="BR37" i="41"/>
  <c r="AP37" i="41"/>
  <c r="AM37" i="41"/>
  <c r="BX37" i="41"/>
  <c r="BM37" i="41"/>
  <c r="BI37" i="41"/>
  <c r="AZ37" i="41"/>
  <c r="AH37" i="41"/>
  <c r="BS37" i="41"/>
  <c r="BU37" i="41"/>
  <c r="BW37" i="41"/>
  <c r="AR37" i="41"/>
  <c r="AL37" i="41"/>
  <c r="BY37" i="41"/>
  <c r="BK37" i="41"/>
  <c r="BO37" i="41"/>
  <c r="AJ37" i="41"/>
  <c r="AO37" i="41"/>
  <c r="AS37" i="41"/>
  <c r="D37" i="41"/>
  <c r="D30" i="23" s="1"/>
  <c r="E30" i="24" s="1"/>
  <c r="AG37" i="41"/>
  <c r="AV37" i="41"/>
  <c r="BP37" i="41"/>
  <c r="BN37" i="41"/>
  <c r="BJ37" i="41"/>
  <c r="AY37" i="41"/>
  <c r="AK37" i="41"/>
  <c r="BZ37" i="41"/>
  <c r="BH37" i="41"/>
  <c r="AQ37" i="41"/>
  <c r="BT37" i="41"/>
  <c r="BG37" i="41"/>
  <c r="AI37" i="41"/>
  <c r="AN37" i="41"/>
  <c r="A39" i="41"/>
  <c r="A32" i="23" s="1"/>
  <c r="A32" i="24" s="1"/>
  <c r="B38" i="41"/>
  <c r="CG38" i="41" l="1"/>
  <c r="B31" i="23"/>
  <c r="B31" i="24" s="1"/>
  <c r="CI38" i="41"/>
  <c r="CK38" i="41"/>
  <c r="CL38" i="41"/>
  <c r="CM38" i="41"/>
  <c r="CJ38" i="41"/>
  <c r="CQ38" i="41"/>
  <c r="CX37" i="41"/>
  <c r="P37" i="41" s="1"/>
  <c r="Q36" i="41"/>
  <c r="CW38" i="41"/>
  <c r="CO38" i="41"/>
  <c r="CE38" i="41"/>
  <c r="CR38" i="41"/>
  <c r="CF38" i="41"/>
  <c r="CS38" i="41"/>
  <c r="CT38" i="41"/>
  <c r="CU38" i="41"/>
  <c r="CV38" i="41"/>
  <c r="CN38" i="41"/>
  <c r="CH38" i="41"/>
  <c r="CD38" i="41"/>
  <c r="CP38" i="41"/>
  <c r="CA37" i="41"/>
  <c r="O37" i="41" s="1"/>
  <c r="BA37" i="41"/>
  <c r="N37" i="41" s="1"/>
  <c r="BB37" i="41"/>
  <c r="A40" i="41"/>
  <c r="B39" i="41"/>
  <c r="B32" i="23" s="1"/>
  <c r="B32" i="24" s="1"/>
  <c r="BV38" i="41"/>
  <c r="BU38" i="41"/>
  <c r="AZ38" i="41"/>
  <c r="AH38" i="41"/>
  <c r="AJ38" i="41"/>
  <c r="AQ38" i="41"/>
  <c r="BT38" i="41"/>
  <c r="BJ38" i="41"/>
  <c r="AR38" i="41"/>
  <c r="AW38" i="41"/>
  <c r="AU38" i="41"/>
  <c r="BL38" i="41"/>
  <c r="BY38" i="41"/>
  <c r="AO38" i="41"/>
  <c r="D38" i="41"/>
  <c r="D31" i="23" s="1"/>
  <c r="E31" i="24" s="1"/>
  <c r="BO38" i="41"/>
  <c r="BN38" i="41"/>
  <c r="AY38" i="41"/>
  <c r="AG38" i="41"/>
  <c r="AV38" i="41"/>
  <c r="BS38" i="41"/>
  <c r="BW38" i="41"/>
  <c r="BH38" i="41"/>
  <c r="AT38" i="41"/>
  <c r="BK38" i="41"/>
  <c r="BQ38" i="41"/>
  <c r="BZ38" i="41"/>
  <c r="AL38" i="41"/>
  <c r="AI38" i="41"/>
  <c r="AN38" i="41"/>
  <c r="BG38" i="41"/>
  <c r="BM38" i="41"/>
  <c r="BR38" i="41"/>
  <c r="AS38" i="41"/>
  <c r="AX38" i="41"/>
  <c r="BP38" i="41"/>
  <c r="BX38" i="41"/>
  <c r="BI38" i="41"/>
  <c r="AK38" i="41"/>
  <c r="AP38" i="41"/>
  <c r="AM38" i="41"/>
  <c r="B40" i="41" l="1"/>
  <c r="A33" i="23"/>
  <c r="A33" i="24" s="1"/>
  <c r="BT39" i="41"/>
  <c r="BU39" i="41"/>
  <c r="BV39" i="41"/>
  <c r="BW39" i="41"/>
  <c r="BX39" i="41"/>
  <c r="BY39" i="41"/>
  <c r="BZ39" i="41"/>
  <c r="BS39" i="41"/>
  <c r="CG39" i="41"/>
  <c r="BR39" i="41"/>
  <c r="CI39" i="41"/>
  <c r="CJ39" i="41"/>
  <c r="CK39" i="41"/>
  <c r="CL39" i="41"/>
  <c r="CM39" i="41"/>
  <c r="CQ39" i="41"/>
  <c r="CI40" i="41"/>
  <c r="CK40" i="41"/>
  <c r="CL40" i="41"/>
  <c r="CM40" i="41"/>
  <c r="CJ40" i="41"/>
  <c r="CQ40" i="41"/>
  <c r="CX38" i="41"/>
  <c r="P38" i="41" s="1"/>
  <c r="BM40" i="41"/>
  <c r="BU40" i="41"/>
  <c r="BN40" i="41"/>
  <c r="BV40" i="41"/>
  <c r="BO40" i="41"/>
  <c r="BW40" i="41"/>
  <c r="BP40" i="41"/>
  <c r="BX40" i="41"/>
  <c r="BQ40" i="41"/>
  <c r="BY40" i="41"/>
  <c r="BR40" i="41"/>
  <c r="BZ40" i="41"/>
  <c r="BS40" i="41"/>
  <c r="BT40" i="41"/>
  <c r="Q37" i="41"/>
  <c r="G71" i="41"/>
  <c r="G82" i="41"/>
  <c r="AI32" i="43" s="1"/>
  <c r="G73" i="41"/>
  <c r="G66" i="41"/>
  <c r="G84" i="41"/>
  <c r="AK32" i="43" s="1"/>
  <c r="G74" i="41"/>
  <c r="G83" i="41"/>
  <c r="AJ32" i="43" s="1"/>
  <c r="G77" i="41"/>
  <c r="G65" i="41"/>
  <c r="G86" i="41"/>
  <c r="AM32" i="43" s="1"/>
  <c r="G67" i="41"/>
  <c r="G72" i="41"/>
  <c r="G70" i="41"/>
  <c r="G64" i="41"/>
  <c r="G78" i="41"/>
  <c r="G76" i="41"/>
  <c r="G85" i="41"/>
  <c r="AL32" i="43" s="1"/>
  <c r="G68" i="41"/>
  <c r="G79" i="41"/>
  <c r="G80" i="41"/>
  <c r="CR39" i="41"/>
  <c r="CS39" i="41"/>
  <c r="CT39" i="41"/>
  <c r="CU39" i="41"/>
  <c r="CV39" i="41"/>
  <c r="CN39" i="41"/>
  <c r="CW39" i="41"/>
  <c r="CO39" i="41"/>
  <c r="CP39" i="41"/>
  <c r="CD39" i="41"/>
  <c r="CE39" i="41"/>
  <c r="CF39" i="41"/>
  <c r="CH39" i="41"/>
  <c r="CU40" i="41"/>
  <c r="CV40" i="41"/>
  <c r="CW40" i="41"/>
  <c r="CO40" i="41"/>
  <c r="CP40" i="41"/>
  <c r="CR40" i="41"/>
  <c r="CS40" i="41"/>
  <c r="CT40" i="41"/>
  <c r="CH40" i="41"/>
  <c r="CD40" i="41"/>
  <c r="CE40" i="41"/>
  <c r="CF40" i="41"/>
  <c r="CN40" i="41"/>
  <c r="CA38" i="41"/>
  <c r="O38" i="41" s="1"/>
  <c r="Z38" i="41" s="1"/>
  <c r="Z41" i="41" s="1"/>
  <c r="BA38" i="41"/>
  <c r="AB41" i="41"/>
  <c r="I39" i="1" s="1"/>
  <c r="BQ39" i="41"/>
  <c r="AV39" i="41"/>
  <c r="AZ39" i="41"/>
  <c r="AP39" i="41"/>
  <c r="D39" i="41"/>
  <c r="D32" i="23" s="1"/>
  <c r="E32" i="24" s="1"/>
  <c r="BK39" i="41"/>
  <c r="BM39" i="41"/>
  <c r="AN39" i="41"/>
  <c r="AR39" i="41"/>
  <c r="AH39" i="41"/>
  <c r="AU39" i="41"/>
  <c r="AJ39" i="41"/>
  <c r="AW39" i="41"/>
  <c r="BP39" i="41"/>
  <c r="BN39" i="41"/>
  <c r="AM39" i="41"/>
  <c r="AY39" i="41"/>
  <c r="AO39" i="41"/>
  <c r="BH39" i="41"/>
  <c r="AT39" i="41"/>
  <c r="AQ39" i="41"/>
  <c r="AG39" i="41"/>
  <c r="BO39" i="41"/>
  <c r="BG39" i="41"/>
  <c r="AL39" i="41"/>
  <c r="AI39" i="41"/>
  <c r="BJ39" i="41"/>
  <c r="BL39" i="41"/>
  <c r="AS39" i="41"/>
  <c r="BI39" i="41"/>
  <c r="AK39" i="41"/>
  <c r="AX39" i="41"/>
  <c r="BJ40" i="41"/>
  <c r="AX40" i="41"/>
  <c r="AR40" i="41"/>
  <c r="BK40" i="41"/>
  <c r="AP40" i="41"/>
  <c r="AZ40" i="41"/>
  <c r="BL40" i="41"/>
  <c r="AH40" i="41"/>
  <c r="AV40" i="41"/>
  <c r="AT40" i="41"/>
  <c r="BG40" i="41"/>
  <c r="AN40" i="41"/>
  <c r="AL40" i="41"/>
  <c r="AJ40" i="41"/>
  <c r="D40" i="41"/>
  <c r="AY40" i="41"/>
  <c r="AW40" i="41"/>
  <c r="BI40" i="41"/>
  <c r="AO40" i="41"/>
  <c r="AU40" i="41"/>
  <c r="AS40" i="41"/>
  <c r="AQ40" i="41"/>
  <c r="BH40" i="41"/>
  <c r="AG40" i="41"/>
  <c r="AM40" i="41"/>
  <c r="AK40" i="41"/>
  <c r="AI40" i="41"/>
  <c r="BB38" i="41"/>
  <c r="AF41" i="41" l="1"/>
  <c r="J24" i="1" s="1"/>
  <c r="D33" i="23"/>
  <c r="E33" i="24" s="1"/>
  <c r="CG40" i="41"/>
  <c r="B33" i="23"/>
  <c r="B33" i="24" s="1"/>
  <c r="G87" i="41"/>
  <c r="G37" i="23" s="1"/>
  <c r="H37" i="25" s="1"/>
  <c r="H40" i="25" s="1"/>
  <c r="CX40" i="41"/>
  <c r="P40" i="41" s="1"/>
  <c r="CX39" i="41"/>
  <c r="P39" i="41" s="1"/>
  <c r="E32" i="43"/>
  <c r="D44" i="1" s="1"/>
  <c r="F32" i="43"/>
  <c r="D45" i="1" s="1"/>
  <c r="Y32" i="43"/>
  <c r="D62" i="1" s="1"/>
  <c r="Z32" i="43"/>
  <c r="D63" i="1" s="1"/>
  <c r="D75" i="1"/>
  <c r="AA32" i="43"/>
  <c r="D64" i="1" s="1"/>
  <c r="D73" i="1"/>
  <c r="D71" i="1"/>
  <c r="S32" i="43"/>
  <c r="D57" i="1" s="1"/>
  <c r="P32" i="43"/>
  <c r="D54" i="1" s="1"/>
  <c r="O32" i="43"/>
  <c r="D53" i="1" s="1"/>
  <c r="D74" i="1"/>
  <c r="AC32" i="43"/>
  <c r="D66" i="1" s="1"/>
  <c r="Q32" i="43"/>
  <c r="D55" i="1" s="1"/>
  <c r="G32" i="43"/>
  <c r="D46" i="1" s="1"/>
  <c r="AB32" i="43"/>
  <c r="D65" i="1" s="1"/>
  <c r="H32" i="43"/>
  <c r="D47" i="1" s="1"/>
  <c r="R32" i="43"/>
  <c r="D56" i="1" s="1"/>
  <c r="I32" i="43"/>
  <c r="D48" i="1" s="1"/>
  <c r="D72" i="1"/>
  <c r="N38" i="41"/>
  <c r="CA40" i="41"/>
  <c r="CA39" i="41"/>
  <c r="O39" i="41" s="1"/>
  <c r="BA40" i="41"/>
  <c r="BA39" i="41"/>
  <c r="BB40" i="41"/>
  <c r="BB39" i="41"/>
  <c r="Q38" i="41" l="1"/>
  <c r="Y38" i="41"/>
  <c r="Y41" i="41" s="1"/>
  <c r="AM37" i="23"/>
  <c r="H36" i="24"/>
  <c r="H39" i="24" s="1"/>
  <c r="G12" i="1"/>
  <c r="I12" i="1" s="1"/>
  <c r="G35" i="23"/>
  <c r="AN32" i="43"/>
  <c r="I36" i="1" s="1"/>
  <c r="I38" i="1" s="1"/>
  <c r="D78" i="1"/>
  <c r="CC41" i="41"/>
  <c r="CB41" i="41"/>
  <c r="N40" i="41"/>
  <c r="O40" i="41"/>
  <c r="O41" i="41" s="1"/>
  <c r="CA41" i="41"/>
  <c r="BA41" i="41"/>
  <c r="N39" i="41"/>
  <c r="Q39" i="41" s="1"/>
  <c r="N41" i="41" l="1"/>
  <c r="I48" i="41" s="1"/>
  <c r="AN41" i="43"/>
  <c r="Q40" i="41"/>
  <c r="Q41" i="41" s="1"/>
  <c r="I44" i="41" l="1"/>
  <c r="I47" i="41" s="1"/>
  <c r="C5" i="50" s="1"/>
  <c r="H47" i="41"/>
  <c r="C17" i="50" l="1"/>
  <c r="C24" i="50"/>
  <c r="C27" i="50" s="1"/>
  <c r="I52" i="41"/>
  <c r="E5" i="50" s="1"/>
  <c r="E24" i="50" s="1"/>
  <c r="E27" i="50" s="1"/>
  <c r="D5" i="50"/>
  <c r="D24" i="50" s="1"/>
  <c r="D27" i="50" s="1"/>
  <c r="E29" i="50" l="1"/>
  <c r="D17" i="50"/>
  <c r="E17" i="50"/>
  <c r="E19" i="50" s="1"/>
  <c r="E28" i="50"/>
  <c r="E58" i="50" s="1"/>
  <c r="D20" i="2"/>
  <c r="H21" i="2" s="1"/>
  <c r="H25" i="2" s="1"/>
  <c r="H20" i="2"/>
  <c r="G20" i="2"/>
  <c r="F20" i="2"/>
  <c r="E20" i="2"/>
  <c r="E33" i="2" s="1"/>
  <c r="C4" i="2"/>
  <c r="C2" i="2"/>
  <c r="C3" i="2"/>
  <c r="E31" i="2"/>
  <c r="E32" i="2"/>
  <c r="E30" i="2"/>
  <c r="E26" i="2"/>
  <c r="E18" i="50" l="1"/>
  <c r="G15" i="1" l="1"/>
  <c r="I15" i="1"/>
  <c r="J20" i="1" s="1"/>
  <c r="J27" i="1" l="1"/>
  <c r="I40" i="1" l="1"/>
  <c r="D79" i="1"/>
  <c r="Z37" i="43" l="1"/>
  <c r="Z40" i="43"/>
  <c r="AC40" i="43"/>
  <c r="AC37" i="43"/>
  <c r="I40" i="43"/>
  <c r="I37" i="43"/>
  <c r="AI37" i="43"/>
  <c r="AI40" i="43"/>
  <c r="Y37" i="43"/>
  <c r="Y40" i="43"/>
  <c r="AK37" i="43"/>
  <c r="AK40" i="43"/>
  <c r="P40" i="43"/>
  <c r="P37" i="43"/>
  <c r="F40" i="43"/>
  <c r="F37" i="43"/>
  <c r="AA37" i="43"/>
  <c r="AA40" i="43"/>
  <c r="AJ40" i="43"/>
  <c r="AJ37" i="43"/>
  <c r="E37" i="43"/>
  <c r="AB37" i="43" l="1"/>
  <c r="AB40" i="43"/>
  <c r="AM40" i="43"/>
  <c r="AM37" i="43"/>
  <c r="R40" i="43"/>
  <c r="R37" i="43"/>
  <c r="AL37" i="43"/>
  <c r="AL40" i="43"/>
  <c r="O40" i="43"/>
  <c r="O37" i="43"/>
  <c r="G40" i="43"/>
  <c r="G37" i="43"/>
  <c r="H40" i="43"/>
  <c r="H37" i="43"/>
  <c r="Q40" i="43"/>
  <c r="Q37" i="43"/>
  <c r="S37" i="43"/>
  <c r="S40" i="43"/>
  <c r="E40" i="43"/>
  <c r="AN40" i="43" l="1"/>
  <c r="AN37" i="43"/>
  <c r="J2" i="61" s="1"/>
  <c r="J21" i="61" s="1"/>
  <c r="J37" i="61" l="1"/>
  <c r="K31" i="44"/>
  <c r="H31" i="62"/>
  <c r="K50" i="44"/>
  <c r="J28" i="1"/>
  <c r="K38" i="1"/>
  <c r="J31" i="1" l="1"/>
  <c r="K5" i="44" s="1"/>
  <c r="K32" i="44" s="1"/>
  <c r="P41" i="41"/>
  <c r="I4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tc={2BE12B20-6EE1-DB41-B134-44AC5D77B008}</author>
  </authors>
  <commentList>
    <comment ref="B13" authorId="0" shapeId="0" xr:uid="{2BE12B20-6EE1-DB41-B134-44AC5D77B008}">
      <text>
        <t>[Trådet kommentar]
Din version af Excel lader dig læse denne trådede kommentar. Eventuelle ændringer vil dog blive fjernet, hvis filen åbnes i en nyere version af Excel. Få mere at vide: https://go.microsoft.com/fwlink/?linkid=870924
Kommentar:
    Beskæftigelsesgraden aftalt i ansættelsesbrevet.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7CB81461-70F5-5E44-A871-C8DDA70B5E1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Gældende for ledere, lærere, børnehaveklasseledere, 3F og HK</t>
        </r>
        <r>
          <rPr>
            <sz val="10"/>
            <color rgb="FF000000"/>
            <rFont val="Calibri"/>
            <family val="2"/>
            <scheme val="minor"/>
          </rPr>
          <t xml:space="preserve">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text>
    </comment>
    <comment ref="I52" authorId="0" shapeId="0" xr:uid="{8FDD572D-B610-2140-BD9D-A505BA87BA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B64B80C7-8224-AC4D-B249-527D5F923FD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Gældende for ledere, lærere, børnehaveklasseledere, 3F og HK</t>
        </r>
        <r>
          <rPr>
            <sz val="10"/>
            <color rgb="FF000000"/>
            <rFont val="Calibri"/>
            <family val="2"/>
            <scheme val="minor"/>
          </rPr>
          <t xml:space="preserve">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text>
    </comment>
    <comment ref="I53" authorId="0" shapeId="0" xr:uid="{AAB8B58C-53F9-1E4F-9075-B55D922008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I54" authorId="0" shapeId="0" xr:uid="{CBE50238-BDE8-7E4E-8593-0320544F79B2}">
      <text>
        <r>
          <rPr>
            <b/>
            <sz val="10"/>
            <color rgb="FF000000"/>
            <rFont val="Tahoma"/>
            <family val="2"/>
          </rPr>
          <t>Tove Dohn:</t>
        </r>
        <r>
          <rPr>
            <sz val="10"/>
            <color rgb="FF000000"/>
            <rFont val="Tahoma"/>
            <family val="2"/>
          </rPr>
          <t xml:space="preserve">
</t>
        </r>
        <r>
          <rPr>
            <sz val="10"/>
            <color rgb="FF000000"/>
            <rFont val="Tahoma"/>
            <family val="2"/>
          </rPr>
          <t>Skriv her antal særlige feriedage optjent i sidste kalenderår, og som skal afvikles i perioden 1. maj til 30. april. Der optjenes 0,42 særlige feriedage pr. måneds ansættelse. BEMÆRK optjeningsåret er SIDSTE kalenderår.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61A7A3D4-A37D-E040-880F-BD2AF6627E9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Gældende for ledere, lærere, børnehaveklasseledere, 3F og HK</t>
        </r>
        <r>
          <rPr>
            <sz val="10"/>
            <color rgb="FF000000"/>
            <rFont val="Calibri"/>
            <family val="2"/>
            <scheme val="minor"/>
          </rPr>
          <t xml:space="preserve">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text>
    </comment>
    <comment ref="I52" authorId="0" shapeId="0" xr:uid="{7001AAC1-1D85-8E4E-AE37-C98AD447DE5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7FEC9397-7F0B-754A-9D87-4E5A0C56D83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Gældende for ledere, lærere, børnehaveklasseledere, 3F og HK</t>
        </r>
        <r>
          <rPr>
            <sz val="10"/>
            <color rgb="FF000000"/>
            <rFont val="Calibri"/>
            <family val="2"/>
            <scheme val="minor"/>
          </rPr>
          <t xml:space="preserve">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text>
    </comment>
    <comment ref="I53" authorId="0" shapeId="0" xr:uid="{E70CA7A3-54A9-014F-A0CB-BAE9BA5CCC1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tc={D2586241-4B4C-8149-AF7C-3A976D71E50B}</author>
    <author>tc={6299BD54-428F-0942-AF97-B33CF2909EA6}</author>
  </authors>
  <commentList>
    <comment ref="I38" authorId="0" shapeId="0" xr:uid="{D2586241-4B4C-8149-AF7C-3A976D71E50B}">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D79" authorId="1" shapeId="0" xr:uid="{6299BD54-428F-0942-AF97-B33CF2909EA6}">
      <text>
        <t>[Trådet kommentar]
Din version af Excel lader dig læse denne trådede kommentar. Eventuelle ændringer vil dog blive fjernet, hvis filen åbnes i en nyere version af Excel. Få mere at vide: https://go.microsoft.com/fwlink/?linkid=870924
Kommentar:
    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4" authorId="0" shapeId="0" xr:uid="{6F22AF57-3F5C-924A-B7B0-B45967DC6023}">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Gældende for ledere, lærere, børnehaveklasseledere, 3F og HK</t>
        </r>
        <r>
          <rPr>
            <sz val="10"/>
            <color rgb="FF000000"/>
            <rFont val="Calibri"/>
            <family val="2"/>
            <scheme val="minor"/>
          </rPr>
          <t xml:space="preserve">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text>
    </comment>
    <comment ref="I54" authorId="0" shapeId="0" xr:uid="{1A4C1399-AF61-5141-9C27-A5AD19E3FF96}">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6309774A-E9FF-A54C-A6AB-01C067D0FB2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Gældende for ledere, lærere, børnehaveklasseledere, 3F og HK</t>
        </r>
        <r>
          <rPr>
            <sz val="10"/>
            <color rgb="FF000000"/>
            <rFont val="Calibri"/>
            <family val="2"/>
            <scheme val="minor"/>
          </rPr>
          <t xml:space="preserve">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text>
    </comment>
    <comment ref="I52" authorId="0" shapeId="0" xr:uid="{338C6573-F8F9-0449-94B5-C8E40DA85F9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F4F390B9-C214-964A-A8D7-4954F7A6317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Gældende for ledere, lærere, børnehaveklasseledere, 3F og HK</t>
        </r>
        <r>
          <rPr>
            <sz val="10"/>
            <color rgb="FF000000"/>
            <rFont val="Calibri"/>
            <family val="2"/>
            <scheme val="minor"/>
          </rPr>
          <t xml:space="preserve">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text>
    </comment>
    <comment ref="I53" authorId="0" shapeId="0" xr:uid="{D19D114E-7B74-6C45-86D8-350C6F46B6E5}">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19EC6B05-C19F-0449-8E1A-A9C36090A28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Gældende for ledere, lærere, børnehaveklasseledere, 3F og HK</t>
        </r>
        <r>
          <rPr>
            <sz val="10"/>
            <color rgb="FF000000"/>
            <rFont val="Calibri"/>
            <family val="2"/>
            <scheme val="minor"/>
          </rPr>
          <t xml:space="preserve">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text>
    </comment>
    <comment ref="I52" authorId="0" shapeId="0" xr:uid="{3C312695-FAEF-004F-A35F-6A774C4E806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5E0B5984-DA35-5045-8287-6EB22BD68BB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Gældende for ledere, lærere, børnehaveklasseledere, 3F og HK</t>
        </r>
        <r>
          <rPr>
            <sz val="10"/>
            <color rgb="FF000000"/>
            <rFont val="Calibri"/>
            <family val="2"/>
            <scheme val="minor"/>
          </rPr>
          <t xml:space="preserve">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text>
    </comment>
    <comment ref="I53" authorId="0" shapeId="0" xr:uid="{084667DB-E7DD-2144-8C73-A778263412B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9E1DD7E1-C23F-2042-B7DE-019F7CEBBFDA}">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Gældende for ledere, lærere, børnehaveklasseledere, 3F og HK</t>
        </r>
        <r>
          <rPr>
            <sz val="10"/>
            <color rgb="FF000000"/>
            <rFont val="Calibri"/>
            <family val="2"/>
            <scheme val="minor"/>
          </rPr>
          <t xml:space="preserve">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text>
    </comment>
    <comment ref="I53" authorId="0" shapeId="0" xr:uid="{6AC96B7B-87F6-8143-B146-74F22C2A551D}">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H54" authorId="0" shapeId="0" xr:uid="{5F025768-52AC-EC4F-BB66-640DE4A05D5F}">
      <text>
        <r>
          <rPr>
            <b/>
            <sz val="10"/>
            <color rgb="FF000000"/>
            <rFont val="Tahoma"/>
            <family val="2"/>
          </rPr>
          <t>Tove Dohn:</t>
        </r>
        <r>
          <rPr>
            <sz val="10"/>
            <color rgb="FF000000"/>
            <rFont val="Tahoma"/>
            <family val="2"/>
          </rPr>
          <t xml:space="preserve">
</t>
        </r>
        <r>
          <rPr>
            <sz val="10"/>
            <color rgb="FF000000"/>
            <rFont val="Tahoma"/>
            <family val="2"/>
          </rPr>
          <t>Da omsorgsdag eller evt. seniorbonusdage skal afvikles senest d. 31. december overføres evt. ikke brugte omsorgsdage fra sidste år ikke automatisk. Er der skyldige omsorgsdage der pga. barsel ikke er afholdt tastes disse i celle "H55". Ellers oplyses de omsorgsdage den ansatte har vedr. det nye år. Det samme gælder seniorbonusdage. Er dagene forhindret i at afholdes af arbejdsgiver overføres de ikke afviklede.</t>
        </r>
      </text>
    </comment>
    <comment ref="I54" authorId="0" shapeId="0" xr:uid="{A7DED186-643F-864C-B502-54648EC218E5}">
      <text>
        <r>
          <rPr>
            <b/>
            <sz val="10"/>
            <color rgb="FF000000"/>
            <rFont val="Tahoma"/>
            <family val="2"/>
          </rPr>
          <t>Tove Dohn:</t>
        </r>
        <r>
          <rPr>
            <sz val="10"/>
            <color rgb="FF000000"/>
            <rFont val="Tahoma"/>
            <family val="2"/>
          </rPr>
          <t xml:space="preserve">
</t>
        </r>
        <r>
          <rPr>
            <sz val="10"/>
            <color rgb="FF000000"/>
            <rFont val="Tahoma"/>
            <family val="2"/>
          </rPr>
          <t>Ikke afholdte eller planlagte særlige feriedage optjent forrige år og som skal afvikles senest d. 30. april i år, kan pr. 1. januar af ledelsen varsles med 30 dages varsel.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1" authorId="0" shapeId="0" xr:uid="{A0714147-58D0-AE49-91BA-3F84B33CB848}">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Gældende for ledere, lærere, børnehaveklasseledere, 3F og HK</t>
        </r>
        <r>
          <rPr>
            <sz val="10"/>
            <color rgb="FF000000"/>
            <rFont val="Calibri"/>
            <family val="2"/>
            <scheme val="minor"/>
          </rPr>
          <t xml:space="preserve">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text>
    </comment>
    <comment ref="I51" authorId="0" shapeId="0" xr:uid="{0F2A44B5-8FC8-ED4C-8681-4AB917A641C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A4E37D1F-B005-AE43-8754-8FC73FFAB20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rPr>
          <t>Ny seniorbonusordning - fra april 2022</t>
        </r>
        <r>
          <rPr>
            <sz val="10"/>
            <color rgb="FF000000"/>
            <rFont val="Calibri"/>
            <family val="2"/>
          </rPr>
          <t xml:space="preserve">
</t>
        </r>
        <r>
          <rPr>
            <b/>
            <sz val="10"/>
            <color rgb="FF000000"/>
            <rFont val="Calibri"/>
            <family val="2"/>
          </rPr>
          <t>Gældende for ledere, lærere, børnehaveklasseledere, 3F og HK</t>
        </r>
        <r>
          <rPr>
            <sz val="10"/>
            <color rgb="FF000000"/>
            <rFont val="Calibri"/>
            <family val="2"/>
          </rPr>
          <t xml:space="preserve">
</t>
        </r>
        <r>
          <rPr>
            <b/>
            <sz val="10"/>
            <color rgb="FF000000"/>
            <rFont val="Calibri"/>
            <family val="2"/>
          </rPr>
          <t>Ansatte har fra og med det kalenderår, hvori de fylder 62 år, ret til en årlig seniorbonus på 0,8 pct. af den sædvanlige årsløn. Seniorbonussen kan konverteres til hhv. 2 seniorfridage eller pension.</t>
        </r>
        <r>
          <rPr>
            <sz val="10"/>
            <color rgb="FF000000"/>
            <rFont val="Calibri"/>
            <family val="2"/>
          </rPr>
          <t xml:space="preserve">
</t>
        </r>
      </text>
    </comment>
    <comment ref="I53" authorId="0" shapeId="0" xr:uid="{4877F9F9-D9D8-1944-BBAC-A9DAFD894F87}">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sharedStrings.xml><?xml version="1.0" encoding="utf-8"?>
<sst xmlns="http://schemas.openxmlformats.org/spreadsheetml/2006/main" count="5307" uniqueCount="629">
  <si>
    <t>Opgaveoversigt</t>
  </si>
  <si>
    <t>Skolens navn</t>
  </si>
  <si>
    <t>lærerens navn</t>
  </si>
  <si>
    <t>vedr. skoleåret</t>
  </si>
  <si>
    <t>Skriv kun i de gule felter</t>
  </si>
  <si>
    <t>Dansk</t>
  </si>
  <si>
    <t>Matematik</t>
  </si>
  <si>
    <t>Musik</t>
  </si>
  <si>
    <t>Engelsk</t>
  </si>
  <si>
    <t>Antal skoledage</t>
  </si>
  <si>
    <t>Antal dage</t>
  </si>
  <si>
    <t>Ekskursioner</t>
  </si>
  <si>
    <t>Bornholm - 110 timer i alt</t>
  </si>
  <si>
    <t>Uv. Timer pr. dag</t>
  </si>
  <si>
    <t>Uv. I alt</t>
  </si>
  <si>
    <t>Andre opgaver</t>
  </si>
  <si>
    <t>Tilsyn - ovf. Fra lejreskole, ekskursioner</t>
  </si>
  <si>
    <t>El-museet</t>
  </si>
  <si>
    <t>Klasselærer</t>
  </si>
  <si>
    <t>Årgang/hold</t>
  </si>
  <si>
    <t>Undervisningstimer i alt</t>
  </si>
  <si>
    <t>Ansvar for natur/teknik lokalet</t>
  </si>
  <si>
    <t>Danfoss Univerce</t>
  </si>
  <si>
    <t>Dette skema er tænkt som en summarisk opgaveoversigt, herudover bør suppleres med arbejdsbeskrivelser af de enkelte opgaver - ligesom i de »gamle« lokalaftaler.</t>
  </si>
  <si>
    <t>Skole:</t>
  </si>
  <si>
    <t>Periodens samlede arbejdstid</t>
  </si>
  <si>
    <t>Beskæftigelsesgrad:</t>
  </si>
  <si>
    <t>Fra:</t>
  </si>
  <si>
    <t>Til:</t>
  </si>
  <si>
    <t>Perioden denne arbejdstidsoversigt er gældende for:</t>
  </si>
  <si>
    <t>Antal timer</t>
  </si>
  <si>
    <t>x</t>
  </si>
  <si>
    <t>Lektioner</t>
  </si>
  <si>
    <t>Lektionernes varrighed</t>
  </si>
  <si>
    <t>Mandag</t>
  </si>
  <si>
    <t>Tirsdag</t>
  </si>
  <si>
    <t>Onsdag</t>
  </si>
  <si>
    <t>Torsdag</t>
  </si>
  <si>
    <t>Fredag</t>
  </si>
  <si>
    <t>Kunst/design</t>
  </si>
  <si>
    <t>Sløjd</t>
  </si>
  <si>
    <t>Tysk</t>
  </si>
  <si>
    <t>Fysik</t>
  </si>
  <si>
    <t>Morgensang</t>
  </si>
  <si>
    <t>Idræt</t>
  </si>
  <si>
    <t>Nyheder</t>
  </si>
  <si>
    <t>Antal "normale undervisningstimer</t>
  </si>
  <si>
    <t>Undervisningstimer i hele normperioden</t>
  </si>
  <si>
    <t>Skoleskema</t>
  </si>
  <si>
    <t xml:space="preserve">Undervisningstimer på lejrskoler </t>
  </si>
  <si>
    <t xml:space="preserve">Undervisningstimer på ekskurtioner </t>
  </si>
  <si>
    <t xml:space="preserve">Undervisningstimer på emnedage og fagdage </t>
  </si>
  <si>
    <t xml:space="preserve">Optælling af skoledagene i række 21, er en optælling af helt almindelige skoledage, hvor der læses dette skoleskema. </t>
  </si>
  <si>
    <t>Medarbejder:</t>
  </si>
  <si>
    <t>Hele klokketimer - teksten kan ændres - flere linier imellem linie 24-26 kan indsættes</t>
  </si>
  <si>
    <t>Antal ugedage i perioden, hvor der læses normalt skoleskema</t>
  </si>
  <si>
    <t xml:space="preserve">Periodens samlede tid </t>
  </si>
  <si>
    <t>Antal klokketimer pr. dag pr. år</t>
  </si>
  <si>
    <t>Mandage</t>
  </si>
  <si>
    <t>Tirsdage</t>
  </si>
  <si>
    <t>Onsdage</t>
  </si>
  <si>
    <t>Torsdage</t>
  </si>
  <si>
    <t>Fredage</t>
  </si>
  <si>
    <t>Evt. overtid/undertid(+/-)</t>
  </si>
  <si>
    <t>Lektion</t>
  </si>
  <si>
    <t>Kl. Fra:</t>
  </si>
  <si>
    <t>Kl. Til:</t>
  </si>
  <si>
    <t>Arbejdstidsoversigt for skoleåret:</t>
  </si>
  <si>
    <t>Skolen starter kl.</t>
  </si>
  <si>
    <t>Antal timer til øvrige opgaver</t>
  </si>
  <si>
    <t>Heraf uv. Ifølge skoleskema</t>
  </si>
  <si>
    <t>Gældende for perioden:</t>
  </si>
  <si>
    <t>Dagen slutter kl.</t>
  </si>
  <si>
    <t>Komme og gå-tider:</t>
  </si>
  <si>
    <t>Antal dage med undervisning</t>
  </si>
  <si>
    <t>Ugedag:</t>
  </si>
  <si>
    <t>Beregning af takster for aftentillæg, weekendtillæg og weekendtimer til udbetaling</t>
  </si>
  <si>
    <t>Navn:</t>
  </si>
  <si>
    <t>Lin.</t>
  </si>
  <si>
    <t>AKTUELLE MÅNEDSLØNNINGER:</t>
  </si>
  <si>
    <t>Basisløn</t>
  </si>
  <si>
    <r>
      <t xml:space="preserve">Områdetillæg </t>
    </r>
    <r>
      <rPr>
        <i/>
        <sz val="10"/>
        <color theme="1"/>
        <rFont val="Calibri"/>
        <family val="2"/>
        <scheme val="minor"/>
      </rPr>
      <t>(kun i stedtillægsområde 3 - 6)</t>
    </r>
  </si>
  <si>
    <r>
      <t>OK08-tillæg</t>
    </r>
    <r>
      <rPr>
        <i/>
        <sz val="12"/>
        <color theme="1"/>
        <rFont val="Calibri"/>
        <family val="2"/>
        <scheme val="minor"/>
      </rPr>
      <t xml:space="preserve"> </t>
    </r>
    <r>
      <rPr>
        <i/>
        <sz val="10"/>
        <color theme="1"/>
        <rFont val="Calibri"/>
        <family val="2"/>
        <scheme val="minor"/>
      </rPr>
      <t>(kun til basistrin 1, 2 og 3)</t>
    </r>
  </si>
  <si>
    <r>
      <t>OK13-tillæg</t>
    </r>
    <r>
      <rPr>
        <i/>
        <sz val="10"/>
        <color theme="1"/>
        <rFont val="Calibri"/>
        <family val="2"/>
        <scheme val="minor"/>
      </rPr>
      <t xml:space="preserve"> (udbetales fra 1. aug. 2014 til alle lærere og bhkl.ledere)</t>
    </r>
  </si>
  <si>
    <r>
      <t>Trin 4-tillæg</t>
    </r>
    <r>
      <rPr>
        <i/>
        <sz val="10"/>
        <color theme="1"/>
        <rFont val="Calibri"/>
        <family val="2"/>
        <scheme val="minor"/>
      </rPr>
      <t xml:space="preserve"> (til de lærere og bhkl.ledere, der pr. 1. april 2013 havde mindst 12 års anciennitet)</t>
    </r>
  </si>
  <si>
    <r>
      <t>Udligningstillæg</t>
    </r>
    <r>
      <rPr>
        <i/>
        <sz val="10"/>
        <color theme="1"/>
        <rFont val="Calibri"/>
        <family val="2"/>
        <scheme val="minor"/>
      </rPr>
      <t xml:space="preserve"> (beregnet 1. aug 2004 v. overgang til basisløn. Ikke samtidig m. trin 4-tillæg!)</t>
    </r>
  </si>
  <si>
    <t>Omregnet til 100% beskæftigelse</t>
  </si>
  <si>
    <t>25% aftentillæg og weekendtillæg, hvis tillægget ikke afspadseres:</t>
  </si>
  <si>
    <t>50% weekendtillæg, hvis tillægget ikke afspadseres</t>
  </si>
  <si>
    <t>Weekendtimetakst, hvis timerne ikke afspadseres</t>
  </si>
  <si>
    <t>Samlet weekendtakst pr. time (ikke pensionsgivende)</t>
  </si>
  <si>
    <t>- Timeforbrug på planlagte arbejdsdage uden undervisning</t>
  </si>
  <si>
    <t>AUGUST</t>
  </si>
  <si>
    <t>SEPTEMBER</t>
  </si>
  <si>
    <t>OKTOBER</t>
  </si>
  <si>
    <t>NOVEMBER</t>
  </si>
  <si>
    <t>DECEMBER</t>
  </si>
  <si>
    <t>JANUAR</t>
  </si>
  <si>
    <t>2. juledag</t>
  </si>
  <si>
    <t>Skoledage i alt:</t>
  </si>
  <si>
    <t>FEBRUAR</t>
  </si>
  <si>
    <t>MARTS</t>
  </si>
  <si>
    <t>APRIL</t>
  </si>
  <si>
    <t>MAJ</t>
  </si>
  <si>
    <t>JUNI</t>
  </si>
  <si>
    <t>JULI</t>
  </si>
  <si>
    <t>Skærtorsdag</t>
  </si>
  <si>
    <t>Arbejdstid pr. uge</t>
  </si>
  <si>
    <t>SÆRLIGE FERIEDAGE</t>
  </si>
  <si>
    <t>I alt</t>
  </si>
  <si>
    <t>feriedage</t>
  </si>
  <si>
    <t>Pæd.dage</t>
  </si>
  <si>
    <t>Lejrskoledg./ekskursion</t>
  </si>
  <si>
    <t>fag/emnedage</t>
  </si>
  <si>
    <t>Sommerferie</t>
  </si>
  <si>
    <t>Påskedag</t>
  </si>
  <si>
    <t xml:space="preserve"> arbejdsdage</t>
  </si>
  <si>
    <t>Fagdage/emnedage i alt:</t>
  </si>
  <si>
    <t>Pæd. Dage i alt:</t>
  </si>
  <si>
    <t>Alm. skoledage i alt:</t>
  </si>
  <si>
    <t>SH-dag</t>
  </si>
  <si>
    <t>Weekend</t>
  </si>
  <si>
    <t>Lejrskole/ekskursionsdage i alt:</t>
  </si>
  <si>
    <t>SUM(Lin. 1-14)</t>
  </si>
  <si>
    <t>- Timeforbrug på lejrskoler og ekskursioner</t>
  </si>
  <si>
    <t>Lokalaftalt tillæg</t>
  </si>
  <si>
    <t>Undervisningstillæg</t>
  </si>
  <si>
    <t>Nylønstillæg</t>
  </si>
  <si>
    <t>Søgne/helligdag</t>
  </si>
  <si>
    <t>Nul-dag</t>
  </si>
  <si>
    <t>Nytårsaftensdag</t>
  </si>
  <si>
    <t>Juleaftensdag</t>
  </si>
  <si>
    <t>Elevernes vinterferie</t>
  </si>
  <si>
    <t>FERIE(I kalenderen angivet med grønt)</t>
  </si>
  <si>
    <t>ANDERLEDES SKOLEDAGE</t>
  </si>
  <si>
    <t>PÆDAGOGISKE DAGE(I kalenderen angivet med lilla)</t>
  </si>
  <si>
    <t>0-DAGE/REST DAGE (I kalenderen angivet med blåt)</t>
  </si>
  <si>
    <t>Fagdag</t>
  </si>
  <si>
    <t>Lejrskole</t>
  </si>
  <si>
    <t>Ekskursion</t>
  </si>
  <si>
    <t>Pæd.dag</t>
  </si>
  <si>
    <t>Efterårsferie</t>
  </si>
  <si>
    <t>Nytårsdag</t>
  </si>
  <si>
    <t/>
  </si>
  <si>
    <t>Weekenddage i alt:</t>
  </si>
  <si>
    <t>Søgne/helligdage i alt:</t>
  </si>
  <si>
    <t>Kalenderdage i alt</t>
  </si>
  <si>
    <t>Feriedage i  alt:</t>
  </si>
  <si>
    <t>Fag/emnedage i alt:</t>
  </si>
  <si>
    <t>Lejrskole/ekskursionsdg. i alt</t>
  </si>
  <si>
    <t>0-dage i alt:</t>
  </si>
  <si>
    <t>Antal Pædagogiske dage i alt:</t>
  </si>
  <si>
    <t>Antal dage med eleverne</t>
  </si>
  <si>
    <r>
      <t xml:space="preserve">Antal timer pr. dag                   </t>
    </r>
    <r>
      <rPr>
        <sz val="10"/>
        <color theme="1"/>
        <rFont val="Calibri"/>
        <family val="2"/>
        <scheme val="minor"/>
      </rPr>
      <t>(8 timer = 8,00)</t>
    </r>
  </si>
  <si>
    <t>on</t>
  </si>
  <si>
    <t>lø</t>
  </si>
  <si>
    <t>ma</t>
  </si>
  <si>
    <t>to</t>
  </si>
  <si>
    <t>ti</t>
  </si>
  <si>
    <t>fr</t>
  </si>
  <si>
    <t>sø</t>
  </si>
  <si>
    <t>Ikke relevant</t>
  </si>
  <si>
    <t>I alt for normperioden</t>
  </si>
  <si>
    <t>Ikke relevante dage</t>
  </si>
  <si>
    <t>Feriedage i alt:</t>
  </si>
  <si>
    <t>Ikke relevante dage:</t>
  </si>
  <si>
    <t>IKKE RELEVANTE DAGE(I kalenderen angivet med sort)</t>
  </si>
  <si>
    <t>Ikke relevante dage er dage den ansatte ikke er ansat.</t>
  </si>
  <si>
    <t>Langfredag</t>
  </si>
  <si>
    <t>0. Dage i alt</t>
  </si>
  <si>
    <t>- Arbejdstid fra 17-06(indregnes i normperioden)</t>
  </si>
  <si>
    <r>
      <t>OK18-tillæg</t>
    </r>
    <r>
      <rPr>
        <i/>
        <sz val="10"/>
        <color theme="1"/>
        <rFont val="Calibri"/>
        <family val="2"/>
        <scheme val="minor"/>
      </rPr>
      <t xml:space="preserve"> (udbetales fra 1. oktober 2018 til alle lærere og bhkl.ledere)</t>
    </r>
  </si>
  <si>
    <t>Soucheftillæg</t>
  </si>
  <si>
    <t>Pr. time (Lin. 17 * 12 / 1924)</t>
  </si>
  <si>
    <t>Ansættes en lærer først d. 1. oktober, skal alle dage i august og september vælges som "ikke relevante dage". På denne måde får skolen korrekt optælling af normperiodens dage, som nu ikke længere er et helt skoleår.</t>
  </si>
  <si>
    <t>Det samme hvis en lærer slutter før skoleåret slutter. Da vælgers de dage læreren ikke er ansat, og normperioden vil være nemmere at tælle op.</t>
  </si>
  <si>
    <t>Det er en forudsætning, at skolen holder virksomhedslukket i de angivne perioder.</t>
  </si>
  <si>
    <t>Det forudsættes, at normperioden følger skoleåret og starter den 1. august.</t>
  </si>
  <si>
    <t xml:space="preserve">OBS: Er normperioden for et helt skoleår, da danner dette timetal grundlag for beregning af undervisninstillæg. Er normperioden kun en del af et skoleår, skal man omregne delperiodens undervisningstimetal til en hel årsnorm. Beregningen af det samlede undervisningstillæg foretages på grundlag af det forventede antal undervisninstimer i ansættelsesperioden samt antallet af arbejdsdage i ansættelsesperioden/skoleåret. </t>
  </si>
  <si>
    <t>Palmesøndag</t>
  </si>
  <si>
    <t>Pinsedag</t>
  </si>
  <si>
    <t>Nul-dage</t>
  </si>
  <si>
    <t>Organisationsaftalen for lærere og børnehaveklasseledere gælder følgende:</t>
  </si>
  <si>
    <t>Hvis ikke skolen inden udgangen af august måned varsler anden ferie, anses ferien for afholdt de 5 hverdage i den uge, hvor skolens elever holder efterårsferie. Hvis ikke skolen inden udgangen af marts varsler anden ferie, anses ferien for afholdt de sidste 18 hverdage i juli samt de to første hverdage i august.</t>
  </si>
  <si>
    <r>
      <rPr>
        <b/>
        <i/>
        <sz val="12"/>
        <color theme="1"/>
        <rFont val="Arial"/>
        <family val="2"/>
      </rPr>
      <t xml:space="preserve">OBS </t>
    </r>
    <r>
      <rPr>
        <i/>
        <sz val="12"/>
        <color theme="1"/>
        <rFont val="Arial"/>
        <family val="2"/>
      </rPr>
      <t xml:space="preserve">- følger skolen organisationsaftales ovenstående ferieregler er der i skoleåret 25 feriedage. 2 feriedage i august, 5 feriedage i efterårsferien og 18 feriedage i juli mdr. </t>
    </r>
  </si>
  <si>
    <t>Skolen kan dog altid varsle en anden ferie end ovennævnte. Hovedferien - 3 uger varsles med 3 mdr. og restferien varsles med 1 mdr.</t>
  </si>
  <si>
    <t>Ny beskæftigelsesgrad efter brug af seniorordning</t>
  </si>
  <si>
    <t>Ja</t>
  </si>
  <si>
    <t>Nej</t>
  </si>
  <si>
    <t>Skema 1 Mandag</t>
  </si>
  <si>
    <t>Skema 1 Tirsdag</t>
  </si>
  <si>
    <t>Skema 1 Onsdag</t>
  </si>
  <si>
    <t>Skema 1 Fredag</t>
  </si>
  <si>
    <t>Skema 1 Torsdag</t>
  </si>
  <si>
    <t>Skema 2 Mandag</t>
  </si>
  <si>
    <t>Skema 2 Tirsdag</t>
  </si>
  <si>
    <t>Skema 2 Onsdag</t>
  </si>
  <si>
    <t>Skema 2 Torsdag</t>
  </si>
  <si>
    <t>Skema 2 Fredag</t>
  </si>
  <si>
    <t>Skema 3 Mandag</t>
  </si>
  <si>
    <t>Skema 3 Tirsdag</t>
  </si>
  <si>
    <t>Skema 3 Onsdag</t>
  </si>
  <si>
    <t>Skema 3 Torsdag</t>
  </si>
  <si>
    <t>Skema 3 Fredag</t>
  </si>
  <si>
    <t>Skema 4 Mandag</t>
  </si>
  <si>
    <t>Skema 4 Tirsdag</t>
  </si>
  <si>
    <t>Skema 4 Onsdag</t>
  </si>
  <si>
    <t>Skema 4 Torsdag</t>
  </si>
  <si>
    <t>Skema 4 Fredag</t>
  </si>
  <si>
    <t>Skema 1</t>
  </si>
  <si>
    <t>Skema 2</t>
  </si>
  <si>
    <t>Skema 3</t>
  </si>
  <si>
    <t>Skema 4</t>
  </si>
  <si>
    <t>Feriedag</t>
  </si>
  <si>
    <t>Emnedag</t>
  </si>
  <si>
    <t>Skema 4 ikke formateret</t>
  </si>
  <si>
    <t>Total skema 1 i klokketimer</t>
  </si>
  <si>
    <t>Planlagt arbejdstid</t>
  </si>
  <si>
    <t>Normperiodens arbejdstid</t>
  </si>
  <si>
    <t xml:space="preserve">Normperiodens søgne/helligdage </t>
  </si>
  <si>
    <t>Normperiodens feriedage</t>
  </si>
  <si>
    <t>Grundlovsdag</t>
  </si>
  <si>
    <t>Skemaet dækker perioden:</t>
  </si>
  <si>
    <t>Undervisningstimer ifølge skema</t>
  </si>
  <si>
    <t>Timer</t>
  </si>
  <si>
    <t>Skema 1 - arbejdstid</t>
  </si>
  <si>
    <t>Skema 2 - arbejdstid</t>
  </si>
  <si>
    <t>Skema 3 - arbejdstid</t>
  </si>
  <si>
    <t>Skema 4 - arbejdstid</t>
  </si>
  <si>
    <t>Total arbejdstid ifølge skema</t>
  </si>
  <si>
    <t>Skema 1 - uv</t>
  </si>
  <si>
    <t>Skema 2 - uv</t>
  </si>
  <si>
    <t>Skema 3 - uv</t>
  </si>
  <si>
    <t>Skema 4 uv</t>
  </si>
  <si>
    <t>Total uv. Tid</t>
  </si>
  <si>
    <t>Pause/tilsyn</t>
  </si>
  <si>
    <t>Angiv mdr. opgaven løses i</t>
  </si>
  <si>
    <t>August</t>
  </si>
  <si>
    <t>Estimeret tid</t>
  </si>
  <si>
    <t>September</t>
  </si>
  <si>
    <t>Oktober</t>
  </si>
  <si>
    <t>November</t>
  </si>
  <si>
    <t>Antal mulige arb.dage</t>
  </si>
  <si>
    <t>Tid i alt der planlægges senere på året</t>
  </si>
  <si>
    <t>Estimeret tid/aftalte akorder i alt</t>
  </si>
  <si>
    <t>Ekstra uv-timer til arrangementer der ikke er henført til dage</t>
  </si>
  <si>
    <t>Antal dage tages pt. fra mdr. kalenderen</t>
  </si>
  <si>
    <t>Antal dage der undervises efter skoleskema</t>
  </si>
  <si>
    <t>Antal fag/emnedage</t>
  </si>
  <si>
    <t>Undervisningstimer på skemadage</t>
  </si>
  <si>
    <t>Total uv. Timer skema 1</t>
  </si>
  <si>
    <t>UV-tid på fagdage</t>
  </si>
  <si>
    <t>Uv-tid på emnedage</t>
  </si>
  <si>
    <t>Pause/tilsynstid</t>
  </si>
  <si>
    <t>Pause/tilsyn på fagdage</t>
  </si>
  <si>
    <t>Pause/tilsyn på emnedage</t>
  </si>
  <si>
    <t>Gns. arbejdstid på skoledage</t>
  </si>
  <si>
    <t>Pause/tilsynstid fagdage/emnedage</t>
  </si>
  <si>
    <t>Dage</t>
  </si>
  <si>
    <t>Ulempe og weekendtillæg:</t>
  </si>
  <si>
    <t>Ulempetillæg(25%)</t>
  </si>
  <si>
    <t>Arbejde i weekend samt weekendtillæg(50%)</t>
  </si>
  <si>
    <t>Ulempetimer og weekendtimer til afspadsering:</t>
  </si>
  <si>
    <t>Sammentælling af timer</t>
  </si>
  <si>
    <t>Arbejdstimer</t>
  </si>
  <si>
    <t>UV tid på ekskursion</t>
  </si>
  <si>
    <t>UV tid på Lejrskole</t>
  </si>
  <si>
    <t>UV tid på lejrskole, ekskursion, fag/emnedag</t>
  </si>
  <si>
    <t>Pause tilsynstid skema 1</t>
  </si>
  <si>
    <t>Pause tilsynstid skema 3</t>
  </si>
  <si>
    <t>Pause tilsynstid skema 2</t>
  </si>
  <si>
    <t>Pause tilsynstid skema 4</t>
  </si>
  <si>
    <t>Lokalaftaletid uv-1</t>
  </si>
  <si>
    <t>Lokalaftaletid uv-2</t>
  </si>
  <si>
    <t>Lokalaftaletid uv-3</t>
  </si>
  <si>
    <t>Lokalaftaletid uv-4</t>
  </si>
  <si>
    <t>Lokalaftaletid fag</t>
  </si>
  <si>
    <t>Lokalaftaletid emne</t>
  </si>
  <si>
    <t>Lokalaftaletid lejrskole</t>
  </si>
  <si>
    <t>Lokalaftaletid ekskursion</t>
  </si>
  <si>
    <t>Skema</t>
  </si>
  <si>
    <t>Opgaver der løses i særlige måneder</t>
  </si>
  <si>
    <t>Evt. ændringer i arbejdstiden</t>
  </si>
  <si>
    <t>Evt. ændringer i undervisningstid</t>
  </si>
  <si>
    <t>Ændring i undervisningstimetal</t>
  </si>
  <si>
    <t>December</t>
  </si>
  <si>
    <t>Januar</t>
  </si>
  <si>
    <t>Februar</t>
  </si>
  <si>
    <t>Marts</t>
  </si>
  <si>
    <t>April</t>
  </si>
  <si>
    <t>Maj</t>
  </si>
  <si>
    <t>Juni</t>
  </si>
  <si>
    <t>Juli</t>
  </si>
  <si>
    <t>Ændringer i alt</t>
  </si>
  <si>
    <t>Undervisningstimer i normperioden</t>
  </si>
  <si>
    <t>Undervisningstimetal der skal betales undervisningsstillæg efter</t>
  </si>
  <si>
    <t xml:space="preserve">Ændringer i arbejdstiden </t>
  </si>
  <si>
    <t>a</t>
  </si>
  <si>
    <t>Arbejdsdage på weekenddage</t>
  </si>
  <si>
    <t xml:space="preserve">List her varslet afspadsering. Afspadseringen må ikke være en del af en evt. ændret arbejdstid i kolonne U og V. </t>
  </si>
  <si>
    <t>Rest timer til afspadsering</t>
  </si>
  <si>
    <t>Afspadsringstimer overført fra sidste måned:</t>
  </si>
  <si>
    <t>Oplys her den aftalte akord på pause/tilsynstid(Den oplyste akord oplyses for et helt skoleår):</t>
  </si>
  <si>
    <t>Opgaver der placeres senere på året:</t>
  </si>
  <si>
    <t>Til</t>
  </si>
  <si>
    <t>SKJUL</t>
  </si>
  <si>
    <t>Undervisningstimer til særlige arrangementer(List herunder arrangement og undervisningstimer):</t>
  </si>
  <si>
    <t>Nettoarbejdstid</t>
  </si>
  <si>
    <t>Afspadsering i alt</t>
  </si>
  <si>
    <t>Pæd.dage, fagdage, emnedage, lejrskole og ekskursionsdage</t>
  </si>
  <si>
    <t>Fagdage og emnedage</t>
  </si>
  <si>
    <t>Ændring i den planlagte arbejdstid og undervisningstid</t>
  </si>
  <si>
    <t>Ændring i arbejdstid</t>
  </si>
  <si>
    <t>Ændring i uv-tid</t>
  </si>
  <si>
    <t>Planlagt uv-tid</t>
  </si>
  <si>
    <t>Differencen imellem arb.tid, uv-tid, pause/tilsynstid</t>
  </si>
  <si>
    <t>Forklarende tekst til udfyldelse af kalenderen</t>
  </si>
  <si>
    <t>Skriv en tekst der beskriver dagen bedst muligt.</t>
  </si>
  <si>
    <t>Ulempetimer og weekendtimer til udbetaling(Timerne udbetales med nettotimelønnen):</t>
  </si>
  <si>
    <t>2. påskedag</t>
  </si>
  <si>
    <t>Har alle mdr med</t>
  </si>
  <si>
    <t>Afspadseringstimer optjent</t>
  </si>
  <si>
    <t>Afspadseringstimer afholdt</t>
  </si>
  <si>
    <t>Arbejdstimer på fagdage og emnedage ifølge mdr.kalender</t>
  </si>
  <si>
    <t>Juledag</t>
  </si>
  <si>
    <t>Kr. Himmelfarsdag</t>
  </si>
  <si>
    <t>2. pinsedag</t>
  </si>
  <si>
    <t>ARB. LØR/SØN</t>
  </si>
  <si>
    <t>25% TIL?</t>
  </si>
  <si>
    <t>weekendtimer</t>
  </si>
  <si>
    <t>Ulempetillæg udb.</t>
  </si>
  <si>
    <t>ulempetillæg i week</t>
  </si>
  <si>
    <t>ulempetillæg 17-06</t>
  </si>
  <si>
    <t>Ulempetillæg afspadseres</t>
  </si>
  <si>
    <t>Lokalaftale weekendtimer - Tillæg afspadseres</t>
  </si>
  <si>
    <t>Lokalaftale weekendtimer - Tillæg Udbetales</t>
  </si>
  <si>
    <t>Lokalaftale weekendtillæg - timerne afspadseres</t>
  </si>
  <si>
    <t>Lokalaftale weekendtillæg - timerne udbetales</t>
  </si>
  <si>
    <t>Ulempetillæg udbetales med 25% af nettotimelønnen.</t>
  </si>
  <si>
    <t>Weekendtimer og weekendtillæg afspadseres.</t>
  </si>
  <si>
    <t xml:space="preserve">Ulempetillægget udbetales  ved førstkommende lønudbetaling med mindre andet aftales. Ulempetillæg kan efter aftale mellem ledelsen og læreren konverteres til afspadsering eller skolen kan indgå lokalaftale. </t>
  </si>
  <si>
    <t>Vælg med piletasten.</t>
  </si>
  <si>
    <t>Weekendtimer i alt</t>
  </si>
  <si>
    <t>week m overnatning som ikke tæller med i tillæg</t>
  </si>
  <si>
    <t>Arbejde på hverdage fra 17:00 - 06:00</t>
  </si>
  <si>
    <t>Weekendtimer og weekendtillæg udbetales.</t>
  </si>
  <si>
    <t>OBS: Der skal kun angives tal i gule felter. Hvis tal i de lysegrå felter skal disse slettes.</t>
  </si>
  <si>
    <t>Pausetid efter undervisningsskema samt oplyste pausertider v. fagdage/emnedage i månedskalendrene.</t>
  </si>
  <si>
    <t>Er der aftalt akord på pause/tilsynstid - VÆLG JA (hvis NEJ medregnes pause/tilsynstid efter skema og pausetid ved fagdage/emnedage oplyst i månedskalendrene.</t>
  </si>
  <si>
    <t>Pause/tilsynstid:</t>
  </si>
  <si>
    <t>Kr. himmelfartsdag</t>
  </si>
  <si>
    <t>Antal lejrskoledage/ekskursionsdage</t>
  </si>
  <si>
    <t>Undervisningstimer på fagdage, emnedage, lejrskole og eskursionsdage ifølge månedskalender</t>
  </si>
  <si>
    <t>Faktisk arbejdstid(uden afspadsering)</t>
  </si>
  <si>
    <t>Afspadseringstimer saldo</t>
  </si>
  <si>
    <t>Dato format dd.mm.åååå</t>
  </si>
  <si>
    <t>Arbejdstiden fordeler sig således:</t>
  </si>
  <si>
    <t>Oversigt over den planlagte arbejdstid.</t>
  </si>
  <si>
    <t>Arbejdstid til undervisningsdage:</t>
  </si>
  <si>
    <t>Undervisningstimer på fagdage og emnedage</t>
  </si>
  <si>
    <t>Pause/tilsynstid efter skema eller lokalaftale</t>
  </si>
  <si>
    <t>Arbejdstiden på helt alm. skemadage:</t>
  </si>
  <si>
    <t>Antal arbejdstimer på normale skemadage:</t>
  </si>
  <si>
    <r>
      <rPr>
        <b/>
        <sz val="14"/>
        <color theme="4" tint="-0.499984740745262"/>
        <rFont val="Calibri"/>
        <family val="2"/>
        <scheme val="minor"/>
      </rPr>
      <t>Oplys også</t>
    </r>
    <r>
      <rPr>
        <sz val="14"/>
        <color theme="4" tint="-0.499984740745262"/>
        <rFont val="Calibri"/>
        <family val="2"/>
        <scheme val="minor"/>
      </rPr>
      <t xml:space="preserve"> hvordan skolen forholder sig til ulempetillæg, weekendarbejde og weekendtillæg. Herudover skal der svares på om der er indgået lokalaftale omkring pause/tilsynstid eller ikke.</t>
    </r>
  </si>
  <si>
    <t>Antal timer på almindelige skoledage beregnes ud fra periodens samlede arbejdstid fratrukket timer til pædagogiske dage, lejrskole, ekskursioner, planlagt arbejde imellem kl. 17-06 samt arbejdstimer på fagdage/emnedage.</t>
  </si>
  <si>
    <t>Arbejdstiden på helt almindelige skemadage flyttes automatisk over til de enkelte måneders kalender.</t>
  </si>
  <si>
    <t>Måned:</t>
  </si>
  <si>
    <t>Skolen kan nu printe følgende til den ansatte:</t>
  </si>
  <si>
    <t>Skema 1 - 4(til print)</t>
  </si>
  <si>
    <t>Til den lønansvarlige printes skemaet "Undervisningstillæg"</t>
  </si>
  <si>
    <t xml:space="preserve">Til opgørelse af den estimerede tid hver 3. måned eller ved skoleåret slut printes fanen "opgørelse". </t>
  </si>
  <si>
    <t>Fanen "Opgaver"</t>
  </si>
  <si>
    <t>Inden print sikres at undervisningstimer ved særlige arrangementer der ikke er henført til dage er listet.</t>
  </si>
  <si>
    <t>Undervisningstimer i alt i normperioden(Bruges kun til opgørelse af normperioden). Er der undervist flere timer end hvad der er betalt undervisningstillæg efter, udbetales der for de ekstra udførte undervisningstimer.</t>
  </si>
  <si>
    <t>SENIORORDNING: Planlægges der med brug af seniorordning? (vælg Ja eller Nej)</t>
  </si>
  <si>
    <t>Gå nu til fanen "Skemaoplysninger"</t>
  </si>
  <si>
    <t>Undertid</t>
  </si>
  <si>
    <t>Skyldig afspadsering</t>
  </si>
  <si>
    <t>Merarbejde/Overarbejde</t>
  </si>
  <si>
    <t>I forbindelse med den nye arbejdstidsaftale gældende fra august 2022 har Friskolerne udarbejdet et nyt planlægningsværtøj til planlægning af lærernes og børnehaveklasselederenes arbejdstid.</t>
  </si>
  <si>
    <t>Fanerne: Stamoplysninger, skemaoplysninger, august, arbejdstidsoversigt og opgaver er øverst makeret med en blå pil og en tekst der beskriver hvad man skal oplyse i den enkelte fane.</t>
  </si>
  <si>
    <r>
      <rPr>
        <b/>
        <sz val="14"/>
        <color theme="4" tint="-0.499984740745262"/>
        <rFont val="Calibri"/>
        <family val="2"/>
        <scheme val="minor"/>
      </rPr>
      <t>Skema 1</t>
    </r>
    <r>
      <rPr>
        <sz val="14"/>
        <color theme="4" tint="-0.499984740745262"/>
        <rFont val="Calibri"/>
        <family val="2"/>
        <scheme val="minor"/>
      </rPr>
      <t xml:space="preserve"> beregner normperiodens samlede arbejdstid.</t>
    </r>
  </si>
  <si>
    <r>
      <rPr>
        <b/>
        <sz val="14"/>
        <color theme="4" tint="-0.499984740745262"/>
        <rFont val="Calibri"/>
        <family val="2"/>
        <scheme val="minor"/>
      </rPr>
      <t xml:space="preserve">Skema 3 </t>
    </r>
    <r>
      <rPr>
        <sz val="14"/>
        <color theme="4" tint="-0.499984740745262"/>
        <rFont val="Calibri"/>
        <family val="2"/>
        <scheme val="minor"/>
      </rPr>
      <t>beregner antallet af undervisningsdage. Planlægges der for et helt skoleår undervises der normalt 200 skoledage. Skemaet giver også en gennemsnitlig arbejdstid til helt almindelige skemadage. Skolen skal nu "rammesætte" de dage der undervises efter et normalt skoleskema(skema 1-4). I skemaet er der desuden mulighed for at anvise komme og gå tid hvis skolen har fuld tilstedeværelse, eller så den ansatte kan se hvordan arbejdstiden ville være hvis der var tilstedeværelse.</t>
    </r>
  </si>
  <si>
    <t>Øvrige opgaver</t>
  </si>
  <si>
    <t>Gns. tid til øvrige opgaver efter opgaveoversigt på helt almindelige skemadage</t>
  </si>
  <si>
    <t>Gå nu til fanen "opgaver", og list de opgaver den ansatte skal udføre indenfor den tidsramme der er til de øvrige opgaver.</t>
  </si>
  <si>
    <t>Arbejdstid</t>
  </si>
  <si>
    <t>Ulempe/weekend</t>
  </si>
  <si>
    <t>Arbejdstiden planlægges i fanerne: Stamoplysninger, skemaoplysninger, august - juli, arbejdstidsoversigt og opgaver</t>
  </si>
  <si>
    <r>
      <rPr>
        <b/>
        <sz val="12"/>
        <color theme="4" tint="-0.499984740745262"/>
        <rFont val="Arial"/>
        <family val="2"/>
      </rPr>
      <t>ARBEJDSTIDSOVERSIGT:</t>
    </r>
    <r>
      <rPr>
        <sz val="12"/>
        <color theme="1"/>
        <rFont val="Arial"/>
        <family val="2"/>
      </rPr>
      <t xml:space="preserve"> I denne fane rammesætter skolen arbejdstiden på helt almindelige skoledage. Tiden der rammesættes her overføres til de enkelte måneder hvor der læses skemadage. Nederst i fanen beregnes hvordan den planlagte arbejdstid går op i forhold til den ansattes arbejdstid/beskæftigelsesgrad og tiden oplyst i månederne august - juli.</t>
    </r>
  </si>
  <si>
    <r>
      <rPr>
        <b/>
        <sz val="12"/>
        <color theme="4" tint="-0.499984740745262"/>
        <rFont val="Arial"/>
        <family val="2"/>
      </rPr>
      <t>OPGAVER:</t>
    </r>
    <r>
      <rPr>
        <sz val="12"/>
        <color theme="1"/>
        <rFont val="Arial"/>
        <family val="2"/>
      </rPr>
      <t xml:space="preserve"> List her de opgaver den ansatte skal løse i tiden til de øvrige opgaver. Det være forberedelse, opgaver der tæller minimum 60 timer for et skoleår og øvrige opgaver.</t>
    </r>
  </si>
  <si>
    <t>PLANLÆGNING FOR EN DEL AF ET SKOLEÅR.</t>
  </si>
  <si>
    <t>OPGØRELSE AF EN DELPERIODE</t>
  </si>
  <si>
    <t>SKEMA 1-4 DAGE (I kalenderen angivet med blå farver)</t>
  </si>
  <si>
    <t>Som udgangspunkt tilstræbes det at lande på 200 undervisningsdage bestående af skemadage, fagdage, emnedage, lejrskoledage, ekskursionsdage.</t>
  </si>
  <si>
    <r>
      <t xml:space="preserve">Erstatningsferie og nyansatte: </t>
    </r>
    <r>
      <rPr>
        <i/>
        <sz val="12"/>
        <color theme="1"/>
        <rFont val="Arial"/>
        <family val="2"/>
      </rPr>
      <t>Vær OBS på evt. erstatningsferiedage ved ansatte der har været feriehindret - erstatningsdage der skal afvikles inden d. 31. december. Vær OBS på om nyansatte har feriedage med sig fra tidligere arbejdsgiver der tæller flere dage end hvad skoleåret normalt byder på. For ansatte der har været feriehindret og ved nyansatte kan der være flere feriedage end 25 dage for et skoleår.</t>
    </r>
  </si>
  <si>
    <t>OVESIGT OVER DAGE I ET SKOLEÅR:</t>
  </si>
  <si>
    <t>INTRO:</t>
  </si>
  <si>
    <t>SÅDAN ANVENDES VÆRKTØJET:</t>
  </si>
  <si>
    <t>Opgørelse</t>
  </si>
  <si>
    <r>
      <rPr>
        <b/>
        <sz val="14"/>
        <color theme="4" tint="-0.499984740745262"/>
        <rFont val="Calibri"/>
        <family val="2"/>
        <scheme val="minor"/>
      </rPr>
      <t>Stamoplysninger</t>
    </r>
    <r>
      <rPr>
        <sz val="14"/>
        <color theme="4" tint="-0.499984740745262"/>
        <rFont val="Calibri"/>
        <family val="2"/>
        <scheme val="minor"/>
      </rPr>
      <t xml:space="preserve"> er oplysninger om den ansatte der bruges til at beregne arbejdstiden. Oplys navn, planlægningsperiode, planlægges der for et helt skoleår eller ikke, beskæftigelsesgrad og om den ansatte ønsker at gøre brug af seniorordning. </t>
    </r>
  </si>
  <si>
    <r>
      <rPr>
        <b/>
        <sz val="14"/>
        <color theme="4" tint="-0.499984740745262"/>
        <rFont val="Calibri"/>
        <family val="2"/>
        <scheme val="minor"/>
      </rPr>
      <t>Beregning af normtimetallet:</t>
    </r>
    <r>
      <rPr>
        <sz val="14"/>
        <color theme="4" tint="-0.499984740745262"/>
        <rFont val="Calibri"/>
        <family val="2"/>
        <scheme val="minor"/>
      </rPr>
      <t xml:space="preserve"> Planlægges der for et helt skoleår udgør arbejdstiden 1924 timer. Herfra trækkes søgnehelligdage der falder på alm. ugedage og feriedage. Planlægges der for en del af et skoleår eller opgøres arbejdstiden pga. fratrædelse i løbet af normperioden udgør arbejdstiden 7,4 timer pr. mulig arbejdsdag. Mulige arbejdsdage er dage i delperioden der ikke er weekenddage, søgnehelligdage og feriedage.</t>
    </r>
  </si>
  <si>
    <t>Ulempetillæg afspadseres med 25%(Kræver en aftale imellem ledelsen og den ansatte)</t>
  </si>
  <si>
    <t>Der er indgået lokalaftale omkring ulempetillæg(Kræver aftale med TR/FSL)</t>
  </si>
  <si>
    <t>Der er indgået lokalaftale omkring weekendtimer og weekendtillæg.(Kræver aftale med TR/FSL).</t>
  </si>
  <si>
    <t>Der er indgået lokalaftale omkring weekendtimer.(Kræver aftale med TR/FSL) Weekendtillæg afspadseres.</t>
  </si>
  <si>
    <t>Der er indgået lokalaftale omkring weekendtimer(Kræver aftale med TR/FSL). Weekendtillæg udbetales.</t>
  </si>
  <si>
    <t>Der er indgået lokalaftale omkring weekendtillæg(Kræver aftale med TR/FSL). Weekendtimerne afspadseres.</t>
  </si>
  <si>
    <t>Der er indgået lokalaftale omkring weekendtillæg(Kræver aftale med TR/FSL). Weekendtimerne udbetales.</t>
  </si>
  <si>
    <t>Træf evt et valg!</t>
  </si>
  <si>
    <t>Oplys ændret timetal!</t>
  </si>
  <si>
    <r>
      <t xml:space="preserve">Opgaver der placeres senere på året </t>
    </r>
    <r>
      <rPr>
        <sz val="14"/>
        <color theme="4" tint="-0.499984740745262"/>
        <rFont val="Calibri"/>
        <family val="2"/>
        <scheme val="minor"/>
      </rPr>
      <t>listes under skema 1. Skriv opgavens art, vælg måned og oplys estimeret tid til opgaven.</t>
    </r>
  </si>
  <si>
    <t>Tid til øvrige opgaver</t>
  </si>
  <si>
    <t>Tid til øvrige opgaver. (Lejrskole/ekskursion tæller 0 timer)</t>
  </si>
  <si>
    <t xml:space="preserve">I alt </t>
  </si>
  <si>
    <t>Overtid</t>
  </si>
  <si>
    <t>Aug. - Okt.</t>
  </si>
  <si>
    <t>Nov. - Jan.</t>
  </si>
  <si>
    <t>Maj - Jul.</t>
  </si>
  <si>
    <t>Feb. - Apr.</t>
  </si>
  <si>
    <t>Opgørelse for november, december og januar</t>
  </si>
  <si>
    <t>Opgørelse for august, september og oktober</t>
  </si>
  <si>
    <t xml:space="preserve">Afspadseringstimer  </t>
  </si>
  <si>
    <t>Ændring på alm. weekend</t>
  </si>
  <si>
    <t>Ændring i arbejdstiden</t>
  </si>
  <si>
    <t>Ændring i antal timer på hverdage imellem kl. 17-06 i forhold til kolonne "R"</t>
  </si>
  <si>
    <t>Oplys ændringen i arbejdstimer på hverdage imellem kl. 17-06. Ekstra timer tastes som et postivt tal. Færre timer tastes som et negativt tal.</t>
  </si>
  <si>
    <t>Oplys ændringen i undervisningstimetallet. Ekstra uv-timer tastes som et postivt tal. Færre uv-timer tastes som et negativt tal. Bruges kun til opgørelse af normperioden.</t>
  </si>
  <si>
    <t>Ændring i arbejdstimer på hverdage imellem 17-06</t>
  </si>
  <si>
    <r>
      <t xml:space="preserve">Opgørelse total for normperioden </t>
    </r>
    <r>
      <rPr>
        <sz val="12"/>
        <color theme="0"/>
        <rFont val="Calibri (Tekst)"/>
      </rPr>
      <t>(negativ tal = undertid, positiv tal = merarbejde/overarbejde)</t>
    </r>
  </si>
  <si>
    <t>Afspadseringssaldo ved normperioden slut</t>
  </si>
  <si>
    <t>Værktøjet kan udover planlægning også bruges til at at udarbejde en statusopgørelse hver 3. måned samt opgøre normperioden.</t>
  </si>
  <si>
    <t>De hvide kolonner: I, J, S, T OG U er kolonner hvor der evt. skal træffes et valg med "X".</t>
  </si>
  <si>
    <r>
      <rPr>
        <b/>
        <sz val="12"/>
        <color theme="4" tint="-0.499984740745262"/>
        <rFont val="Arial"/>
        <family val="2"/>
      </rPr>
      <t>AFSPADSERING</t>
    </r>
    <r>
      <rPr>
        <sz val="12"/>
        <color theme="1"/>
        <rFont val="Arial"/>
        <family val="2"/>
      </rPr>
      <t>(Varsles min. 72 timer i forvejen). Varsler skolen afspadsering, skal disse timer listes i skemaet under hver måned i afspadseringsskemaet. Afspadsering skal IKKE ske som en ændring i månedskalenderens kolonne V-X. Skriv hvilken dag læreren skal afspadsere(en dag der i forvejen er planlagt arbejde på), og skriv antal timer. Dagens timetal kan aflæses i kalenderen.</t>
    </r>
  </si>
  <si>
    <t>Et skoleår består af gennemsnitlige 200 skoledage. De 200 skoledage består af helt almindelige skoledage hvor der læses et almindeligt skoleskema(skema 1-4) samt evt følgende dage:</t>
  </si>
  <si>
    <t>Fagdage(I kalenderen angivet med orange). I kalenderen udfyldes antal arbejdstimer, undervisningstimer og pause/tilsynstid.</t>
  </si>
  <si>
    <t>Emnedage(I kalenderen angivet med lyserødt). I kalenderen udfyldes antal arbejdstimer, undervisningstimer og pause/tilsynstid.</t>
  </si>
  <si>
    <t>Ekskursionsdage(I kalenderen angivet med gult). I kalenderen udfyldes antal arbejdstimer og undervisningstimer.</t>
  </si>
  <si>
    <t>Pædagogiske dage er dage lærerne er på arbejde, men ikke underviser eleverne. Det kan være forberedelsesdage op til skolestart eller evalueringsdage efter eleverne er gået på sommerferie. Pædagogiske dage kan også være dage hvor det kommende skoleår planlægges eller mødes om et pædagogiske emne. Disse dage kan såvel ligge på skoledage som i weekender. I kalenderen udfyldes antal arbejdstimer. Skriv i kolonne "H" hvis den pædagogiske dag går udover kl. 17.00(dog ikke hvis arrangementet er med overnatning). Vælg særligt "X" i kolonne "I" hvis den pædagogiske dag er en weekend, vælg særligt "X" i kolonne "J" hvis den pædagogiske dag er med overnatning Udfyld herefter de oplyste gule celler.</t>
  </si>
  <si>
    <t>Lejrskoledage(I kalenderen angivet med lyseblåt). I kalenderen udfyldes antal arbejdstimer og undervisningstimer. Bemærk at en lejrskole typisk er med overnatning hvorfor der skal vælges et "X" i kolonne "J". En lejrskoledøgn tæller med 14 timers arbejdstid og 10 timers rådighedstjeneste. Rådighedstjeneste tæller med 1/3. Hermed tæller en lejrskoledøgn på 24 timer med 17,33 timer. Et døgn starter kl. 00:00. Har skolen lokalaftale på lejrskole, oplyses de timer lokalaftalen er aftalt med.</t>
  </si>
  <si>
    <t>TIPS: Ikke relevante dage kan kopieres ned i en hel måned ved først at vælge den første dag som "Ikke relevant" og dernæst at "trække" i cellens nederste højre hjørne - ned i månedens kolonne.</t>
  </si>
  <si>
    <t>3. Arbejdstiden på helt almindelige skoledage</t>
  </si>
  <si>
    <t>Møder og arrangementer i tidsrummet 17-06(Ikke arrangementer med overnatning). OBS: Hvis der skal tilknyttes uv-tillæg skal uv-timerne oplyses i fanen "Undervisningstillæg" under "Ekstra undervisningstimer"</t>
  </si>
  <si>
    <t>Antal undervisningsdage i alt:</t>
  </si>
  <si>
    <t>Orlov</t>
  </si>
  <si>
    <t>Orlovstimer</t>
  </si>
  <si>
    <t>Planlægges der for et helt skoleår - vælg "Ja". Planlægges der for en del af et skoleår pga. tiltrædelse eller opgøres arbejdstiden pga. fratrædelse i løbet af normperioden - vælg "Nej"</t>
  </si>
  <si>
    <t>Orlovsdage</t>
  </si>
  <si>
    <t>Olrovsdage</t>
  </si>
  <si>
    <t>Orlov (I kalenderen angivet med mørkegrøn)</t>
  </si>
  <si>
    <t>Orlovsdage er dage med ret til frihed efter barselsloven og servicelovens §119(orlov til pasning af nærtstående der ønsker at dø i eget hjem) såfremt orloven varer længere end 30 dage. Orlovsdagene tæller da med 7,4 timer * beskæftigelsesgraden.</t>
  </si>
  <si>
    <t>Sidst i værktøjet vises en årskalender samt 2 halvårskalendere. Disse værktøjer er en direkte kopi af månedskalenderne, og kan bruges som overbliksbilleder. I disse kalendre er der ydermere en optælling af normperiodens dage som kan bruges til "kontrol".</t>
  </si>
  <si>
    <t xml:space="preserve">De 3 sidste kalendre er til eget brug. Her er ingen formler og intet er kopieret fra månedskalendrene. </t>
  </si>
  <si>
    <t>Særlige feriedage afholdes med de arbejdstimer dagen oprindeligt er planlagt med. Det vil sige at ved afvikling af en særlig feriefridag ændres der IKKE på antal arbejdstimer eller undervisningstillæg. De særlige feriedage skal så vidt muligt repræsentere en helt almindelig arbejdsuge. Har læreren en arbejdsuge på færre en fem dage indgår de arbejdsfriedage i afholdelsen af særlige feriedage. Hvis læreren feks. har en arbejdsuge med 4 arbejdsdage og 1 fridag, er alle 5 optjente særlige feriedage afviklet når læreren har afviklet særlige feriedage på 4 arbejdsdage.</t>
  </si>
  <si>
    <t>Opgørelse for februar, marts og april</t>
  </si>
  <si>
    <t>Opgørelse for maj, juni og juli</t>
  </si>
  <si>
    <t>Vejledning til planlægningsværtøj vedr.</t>
  </si>
  <si>
    <t>arbejdstid for lærere og børnehaveklasseledere</t>
  </si>
  <si>
    <r>
      <rPr>
        <b/>
        <sz val="12"/>
        <color theme="4" tint="-0.499984740745262"/>
        <rFont val="Arial"/>
        <family val="2"/>
      </rPr>
      <t>AUGUST - JULI/månedskalenderne</t>
    </r>
    <r>
      <rPr>
        <sz val="12"/>
        <color theme="1"/>
        <rFont val="Arial"/>
        <family val="2"/>
      </rPr>
      <t xml:space="preserve"> er her planlægningen af det kommende skoleår sker. Skemaerne anvendes også til ændringer eller opgørelse. VIGTIGT: der er i række 4 en beskrivelse af de enkelte kolonner. LÆS disse!</t>
    </r>
  </si>
  <si>
    <r>
      <rPr>
        <b/>
        <sz val="12"/>
        <color theme="4" tint="-0.499984740745262"/>
        <rFont val="Arial"/>
        <family val="2"/>
      </rPr>
      <t xml:space="preserve">VALG AF DAGE: </t>
    </r>
    <r>
      <rPr>
        <sz val="12"/>
        <color theme="1"/>
        <rFont val="Arial"/>
        <family val="2"/>
      </rPr>
      <t>Nederst på denne fane er listet de dage et skoleår kan byde på, og som skal vælges i månedskalenderne.</t>
    </r>
  </si>
  <si>
    <r>
      <rPr>
        <b/>
        <sz val="12"/>
        <color theme="4" tint="-0.499984740745262"/>
        <rFont val="Arial"/>
        <family val="2"/>
      </rPr>
      <t>OBS:</t>
    </r>
    <r>
      <rPr>
        <sz val="12"/>
        <color theme="1"/>
        <rFont val="Arial"/>
        <family val="2"/>
      </rPr>
      <t xml:space="preserve"> Månedskalenderne er ikke færdige inden fanen "arbejdstidsoversigt" og arbejdstiden på almindelige undervisningsdage er udfyldt.</t>
    </r>
  </si>
  <si>
    <t xml:space="preserve">De lysegrå kolonner: K, L, M, R, V, W og X". Her er det VIGTIGT der kun står tal hvis cellen er gul. </t>
  </si>
  <si>
    <r>
      <rPr>
        <b/>
        <sz val="12"/>
        <color theme="4" tint="-0.499984740745262"/>
        <rFont val="Arial"/>
        <family val="2"/>
      </rPr>
      <t>UNDERVISNINGSTILLÆG:</t>
    </r>
    <r>
      <rPr>
        <sz val="12"/>
        <color theme="1"/>
        <rFont val="Arial"/>
        <family val="2"/>
      </rPr>
      <t xml:space="preserve"> Er et skema over de planlagte undervisningstimer for et skoleår. Skemaet bruges til at udbetale det månedlige undervisningstillæg efter. Bemærk at hvis læreren underviser til et arrangement der ikke er henført til dage(feks. teateraften, koncert eller andet), som udløser undervisningstillæg skal disse timer anføres i fanen "undervisningstillæg". Hvis der planlægges for en delperiode(Ikke et helt skoleår), skal undervisningstimetallet for delperioden ganges op til et helt skolår. Beregningen heraf er beskrevet i fanen Undervisningstillæg - celle B22.</t>
    </r>
  </si>
  <si>
    <t>Vælg dagene med piletasten. Hvis en måned er "ikke relevant" kan man efter at have valgt "ikke relevant" for månedes første dag, trække valget ned gennem hele måneden ved at "trække" i den lille markør i cellens nederste højre hjørne.</t>
  </si>
  <si>
    <t>Arbejdstiden tages enten fra kolonne "K" eller hvis alm. skemadage fra "Arbejdstidsoversigtens skema 3"</t>
  </si>
  <si>
    <t>Heraf evt. undervisning efter skema eller efter oplyste uv-timer i kolonne L.</t>
  </si>
  <si>
    <t>Oplys her planlagte arbejdstimer imellem 17-06 timer. Tast kun hvis feltet er gult.</t>
  </si>
  <si>
    <t>Vælg "x" hvis ændring i undervisningstimer i forhold til kolonne "O". OBS: Ved sygdom ændres ikke på undervisningstimetal.</t>
  </si>
  <si>
    <t>Vælg "x" hvis ændring i arbejdstiden på hverdage imellem kl. 17-06 i forhold til kolonne "R".</t>
  </si>
  <si>
    <t>Ændring i undervisningstiden i forhold til kolonne "O"</t>
  </si>
  <si>
    <t>Ændring i arbejdstiden i forhold til kolonne "N"</t>
  </si>
  <si>
    <t>Efter at fanerne "stamoplysninger", "skemaoplysninger" og "normperiodens måneder" er udfyldte, er det muligt at beregne hvor mange arbejdstimer der er til helt almindelige skoledage.</t>
  </si>
  <si>
    <t>Herudover beregner skemaet antal timer til øvrige opgaver. Øvrige opgaver er forberedelse, opgaver som estimeres til min. 60 timer pr. år samt andre andre øvrige opgaver. Disse opgaver listes i fanen "Opgaver".</t>
  </si>
  <si>
    <t>BEMÆRK:</t>
  </si>
  <si>
    <t>Arbejdstiden for almindelige skemadage overføres automatisk til månedeskalenderne.</t>
  </si>
  <si>
    <t xml:space="preserve">Tiden i række 79 viser om normperiodens timetal går op, om der er planlagt med for mange timer eller med for få timer. Ønskes timetallet her ændret kan skolen med fordel anvende "målsøgning". Stå på cellen "D79" og klik på menuen 'Funktioner' og vælg 'Målsøgning', eller vælg 'Data' i båndet og klik på 'Målsøgning' i ikonet 'Hvad-hvis'. Cellen der skal ændres vælges - værdien sættes til nul og man beder om ændring på det valgte. </t>
  </si>
  <si>
    <t>Månedskalenderne</t>
  </si>
  <si>
    <t>Beskæftigelsesgrad (hvis 100% skrives 1, hvis 80% skrives 0,8):</t>
  </si>
  <si>
    <t>Planlagt arbejdstid pr. dag i tidsrummet 07:30 - 17:00</t>
  </si>
  <si>
    <t>Skemadage er dage  hvor den ansatte underviser efter helt almindelig skoleskema(de fleste arbejdsdage). Her kan vælges Skema 1, Skema 2, Skema 3 eller Skema 4. Bemærk at arbejdstiden på skemadage først vises efter at fanen "arbejdstidsoversigt" er udfyldt. Skemadage kan kun vælges mandag - fredag. IKKE på weekenddage.</t>
  </si>
  <si>
    <t>Afspadsringstimer overført fra sidste normperiode:</t>
  </si>
  <si>
    <t>Kalendere sidst i værktøjet</t>
  </si>
  <si>
    <t>Weekendtimer til afspadsering</t>
  </si>
  <si>
    <t>Weekndtillæg til afspadsering</t>
  </si>
  <si>
    <t>Weekendtimer til udbetaling</t>
  </si>
  <si>
    <t>Weekendtillæg til udbetaing</t>
  </si>
  <si>
    <t>Lokalaftale på weekendtimer og tillæg. Her angives weekendtimer til fratræk i mdr. norm</t>
  </si>
  <si>
    <t>1. Lokalaftale weekendtimer - weekendtimer modregnes normperioden</t>
  </si>
  <si>
    <t>2. Lokalaftael weekendtimer - weekendtimer modregnes i normperioden</t>
  </si>
  <si>
    <t>1. Lokalaftale weekendtillæg - timer afspadseres og modregnes normperioden</t>
  </si>
  <si>
    <t>2. Lokalaftale weekendtimer - timer udbetales og modregnes normperioden</t>
  </si>
  <si>
    <t>Ændringer i arbejdstiden der ikke vedrører weekender</t>
  </si>
  <si>
    <t>Heraf planlagte weekendtimer til afspadsering, udbetaling eller hvor der er indgået lokalaftale</t>
  </si>
  <si>
    <t>Heraf weekendtimer der afspadseres, udbetales eller indgået lokalaftale til</t>
  </si>
  <si>
    <t>Tid til øvrige opgaver(Forberedelse samt øvrige opgaver med og uden estimeret tid). Timerne ovf. automatisk til fanen "opgaver".</t>
  </si>
  <si>
    <r>
      <t xml:space="preserve">Normperioden </t>
    </r>
    <r>
      <rPr>
        <sz val="14"/>
        <color theme="4" tint="-0.499984740745262"/>
        <rFont val="Calibri"/>
        <family val="2"/>
        <scheme val="minor"/>
      </rPr>
      <t>planlægges nu med hvilke dage perioden indeholder. I kolonne C vælges dagene med piletasten. Ud over dage, planlægges arbejde på hverdage imellem kl. 17-06, weekenddage mm. I de hvide kolonner - kolonne I, J og ved ændringer også kolonne S, T og U, skal der evt. sættes et "X". BEMÆRK: Det er vigtigt at der i kolonne K, L, M, R, V, W og X kun tastes hvis felterne er gule. Er felterne ikke gule tælles timerne ikke med. Ovenover hver kolonne i række 4, er en beskrivelse af cellen. Når alle måneder er planlagt udfyldes fanen "arbejdstidsoversigt". Arbejdstidsoversigt beregner arbejdstiden for undervisningsdage. Arbejdstiden for undervisningsdage/skema 1-4 i kalenderne er derfor ikke udfyldt før skema 3 i fanen "arbejdstidsoversigt" er.</t>
    </r>
  </si>
  <si>
    <t>17-06 timer der er på ikke relevante dage</t>
  </si>
  <si>
    <t>Elevpause</t>
  </si>
  <si>
    <t>Tid til elevpauser</t>
  </si>
  <si>
    <t>Hvis fagdag eller emnedag oplyses tid til elevpause</t>
  </si>
  <si>
    <t>Heraf tid til elevpauser efter skema, oplyste timer i kolonne "M" eller lokalaftale.</t>
  </si>
  <si>
    <t>Oplys ændring i arbejdstiden. Ekstra timer tastes som et postivt tal. Færre timer tastes som et negativt tal. Ved fravær mere end 4 uger tælles alle mulige arbejdsdage med 7,4 timer * bg.</t>
  </si>
  <si>
    <r>
      <rPr>
        <b/>
        <sz val="14"/>
        <color theme="4" tint="-0.499984740745262"/>
        <rFont val="Calibri"/>
        <family val="2"/>
        <scheme val="minor"/>
      </rPr>
      <t>Skema 2</t>
    </r>
    <r>
      <rPr>
        <sz val="14"/>
        <color theme="4" tint="-0.499984740745262"/>
        <rFont val="Calibri"/>
        <family val="2"/>
        <scheme val="minor"/>
      </rPr>
      <t xml:space="preserve"> beregner tiden til øvrige opgaver. De opgaver der listes i fanen "opgaver". Bemærk at tiden til elevpauser og opgaver der placeres i særlige måneder ikke er en del af de opgaver der skal varetages af tiden til øvrige opgaver.</t>
    </r>
  </si>
  <si>
    <t>Nederst i skemaet er oplyst tiden til elevpauser(fra fanen "stamoplysniner" eller "skemaoplysninger" samt tiden til opgaver der placeres i særlige måneder(fra fanen "skemaoplysninger).</t>
  </si>
  <si>
    <t>Timer til elevpauser(ikke en del af den samlede tid til øvrige opgaver)</t>
  </si>
  <si>
    <t xml:space="preserve">HUSK at de øvrige opgaver der skal listes er:  estimeret tid til forberedelse, opgaver der tæller min. 60 timer pr. skoleår og øvrige opgaver. Der skal ikke tastes tid til elevpauserd og tid til opgaver der planlægges i særlige måneder. </t>
  </si>
  <si>
    <t>Varslet afspadsering. (Afspadsering varsles med min. 72 timer)</t>
  </si>
  <si>
    <r>
      <rPr>
        <b/>
        <sz val="12"/>
        <color theme="4" tint="-0.499984740745262"/>
        <rFont val="Arial"/>
        <family val="2"/>
      </rPr>
      <t xml:space="preserve"> TIL PRINT: </t>
    </r>
    <r>
      <rPr>
        <sz val="12"/>
        <color theme="1"/>
        <rFont val="Arial"/>
        <family val="2"/>
      </rPr>
      <t>Månedskalenderne august - juli, opgaver, skema 1-4 og opgørelse er til print og udlevering til læreren.</t>
    </r>
  </si>
  <si>
    <t>Ændring i arbejdstid imellem 07:30 - 17:00</t>
  </si>
  <si>
    <t>Vælg "x" hvis ændring i arbejdstimer i forhold til kolonne "N". Ændring(af fast karakter) i den planlagte arbejdstid uden for tidsrummet 7.30-16.30 skal varsles med mindst 4 uger.</t>
  </si>
  <si>
    <t>Hvis "x" er der pålagt arbejde lør/søn eller på en SH-dag.</t>
  </si>
  <si>
    <t>Vælg "x" hvis der planlægges arbejde lørdage og søndage eller SH-dage.</t>
  </si>
  <si>
    <t>Vælg "x" hvis der planlægges lejrskole, studieture eller lign., med overnatning (Arrangementer med elever).</t>
  </si>
  <si>
    <t>Det totale antal dage fratrukket  ferie, lørdage, søndage, søgne/helligdage, samt 200 skoledage udgør: (365 kalenderdage - 104 lør/søn - 7 S/H-dage - 25 feriedage- 200 skoledage = 29 restdage. Disse 29 dage er i princippet arbejdsdage. Hvis der ikke disponeres over disse dage(Planlægges arbejdstid), vil de blive betragtet som afspadseringsdage - også kaldet 0-dage.</t>
  </si>
  <si>
    <t>For planlagt arbejde på hverdage i tidsrummet 17-06 samt weekender, SH-dage, grundlovsdag efter kl. 12 samt juleaftensdag efter kl. 14 ydes der efter §20 et ulempetillæg svarende til 25% af nettotimelønnen(inkl. faste tillæg). Gælder ikke lejrskole, studieture og andre arrangementer med overnatning (overnatningsarrangementer med elever).</t>
  </si>
  <si>
    <t xml:space="preserve">For planlagt arbejde i weekender eller på SH-dage godtgøres arbejdstiden med afspadsering af samme varighed + 50%, eller med timeløn med et tillæg på 50%. Gælder ikke lejrskole, studieture og andre arrangementer med overnatning (overnatningsarrangementer med elever). Der kan også indgåes lokalaftale herom. </t>
  </si>
  <si>
    <t>Aktiviteter fra 7:30 - 17:00. Beskrivelse af dagen</t>
  </si>
  <si>
    <r>
      <t>Angiv her mødetids-punkt</t>
    </r>
    <r>
      <rPr>
        <sz val="10"/>
        <color theme="1"/>
        <rFont val="Calibri"/>
        <family val="2"/>
        <scheme val="minor"/>
      </rPr>
      <t xml:space="preserve">                  (07:45 =  07:45)</t>
    </r>
  </si>
  <si>
    <t>Elevpausetid ifølge skema</t>
  </si>
  <si>
    <t>Vælg</t>
  </si>
  <si>
    <t>Elevpause vælges i kolonne A, K, U og AE hvor der planlægges elevpausetid. Elevpausetid er den tid der ligger imellem 2 lektioner. Elevpausetid kan bruges til tilsyn, gårdvagter, pauser eller lign. Oplys antal minutter elevpausetiden varer, og beskriv lærerens opgave i elevpausetiden. Elevpausetiden overføres automatisk til bla. fanen "opgaver".</t>
  </si>
  <si>
    <t>Lektion vælges i kolonne A, K, U og AE hvis der planlægges en  undervisningsaktivitet. Oplys antal minutter lektionen varer, og beskriv lektionen. Lektionstimerne overføres automatisk til skemaet "undervisningstillæg".</t>
  </si>
  <si>
    <t>Estimeret</t>
  </si>
  <si>
    <t>Aftalt lokalt</t>
  </si>
  <si>
    <t>Er tiden estimeret eller aftalt lokalt? Vælg med "rullelisten"</t>
  </si>
  <si>
    <t>List her tiden til forberedelse og opgaver der estimeres til min. 60 klokketimer for et helt skoleår samt øvrige opgaver. Vælg om tiden er estimeret eller aftalt lokalt. (Bruges kun som en information).</t>
  </si>
  <si>
    <t>Særlige feriedage</t>
  </si>
  <si>
    <t>Ved månedens start er der antal skyldige:</t>
  </si>
  <si>
    <t>Oplys antal afholdte dage</t>
  </si>
  <si>
    <t>Rest antal dage (videreføres til næste måned)</t>
  </si>
  <si>
    <t>Oplys hvis tilskrevet dage eller hvis den ansatte er startet denne mdr.</t>
  </si>
  <si>
    <t>Oplys evt. ny tilførte dage eller antal skyldige dage ved nyansættelse:</t>
  </si>
  <si>
    <r>
      <t xml:space="preserve">Ved månedens start er der antal skyldige: </t>
    </r>
    <r>
      <rPr>
        <sz val="10"/>
        <rFont val="Arial"/>
        <family val="2"/>
      </rPr>
      <t>Bemærk at et nyt afholdelsesår vedr. de særlige feriedage er startet. Læs noten.</t>
    </r>
  </si>
  <si>
    <r>
      <t xml:space="preserve">Særlige feriedage </t>
    </r>
    <r>
      <rPr>
        <sz val="10"/>
        <rFont val="Arial"/>
        <family val="2"/>
      </rPr>
      <t>(også kaledet 6. ferieuge, feriefridage)</t>
    </r>
  </si>
  <si>
    <r>
      <t xml:space="preserve">Beskrivelse af møder og arrangementer på hverdage i tidsrummet 17-06. </t>
    </r>
    <r>
      <rPr>
        <b/>
        <sz val="12"/>
        <rFont val="Arial"/>
        <family val="2"/>
      </rPr>
      <t>IKKE ved lejrskole og andre elev-arrangementer med overnatning.</t>
    </r>
  </si>
  <si>
    <t>Hvis "X" vedrører tjenesten lejrskole, studieture eller lign., med elev-overnatning.</t>
  </si>
  <si>
    <t>(forberedelse og opgaver på min. 60 timer)</t>
  </si>
  <si>
    <t>Opgaver der tæller mere end 60 timer</t>
  </si>
  <si>
    <t>LISTE OVER ØVRIGE OPGAVER</t>
  </si>
  <si>
    <t>Øvrige opgaver som planmæssigt ligger på hverdage imellem kl. 06:00 - 17:00. Listen er over de opgaver der tæller mere en 60 timer, øvrige opgaver, opgaver der placeres senere på året samt elevpausetid.</t>
  </si>
  <si>
    <t>Oplys herunder estimeret tid/aftalte akorder på opgaver der forventes fordelt på skoledage, fagdage og emnedage.</t>
  </si>
  <si>
    <t>Timer til puljen til øvrige opgaver:</t>
  </si>
  <si>
    <t>2023-2024</t>
  </si>
  <si>
    <t>Hvis begge arrangementer</t>
  </si>
  <si>
    <t>Hvis kun dag</t>
  </si>
  <si>
    <t>Hvis kun aften</t>
  </si>
  <si>
    <t>Halvårskalender for skoleråret 2023-2024</t>
  </si>
  <si>
    <t>Halvårskalender for skoleåret 2023-2024</t>
  </si>
  <si>
    <t>Årskalender for skoleåret 2023-2024</t>
  </si>
  <si>
    <r>
      <rPr>
        <b/>
        <sz val="14"/>
        <color theme="4" tint="-0.499984740745262"/>
        <rFont val="Calibri"/>
        <family val="2"/>
        <scheme val="minor"/>
      </rPr>
      <t>Seniorordningen</t>
    </r>
    <r>
      <rPr>
        <sz val="14"/>
        <color theme="4" tint="-0.499984740745262"/>
        <rFont val="Calibri"/>
        <family val="2"/>
        <scheme val="minor"/>
      </rPr>
      <t xml:space="preserve"> er gældende fra den normperiode den ansatte fylder 60 år. Med seniorordningen kan den ansatte gå op til 175 timer ned i arbejdstid(Forudsætter en fuldtidsansættelse. Ellers forholdsvist). For ansatte der d. 31. juli var fyldt 57 år er ordningen med fuld løn og pension. For ansatte der ikke var fyldt 57 år d. 31. juli 2013 er ordningen med tilsvarende lønnedgang - dog med fuld pension.</t>
    </r>
  </si>
  <si>
    <t>UDBETALING: Ulempetimer og weekendtimer til udbetaling(Timerne udbetales med nettotimelønnen):</t>
  </si>
  <si>
    <t>Nederst i fanerne: Stamoplysninger, skemaoplysninger, august, arbejdstidsoversigt og opgaver er skrevet hvad næste "step" er (Markert med blå pil).</t>
  </si>
  <si>
    <r>
      <rPr>
        <b/>
        <sz val="14"/>
        <color theme="4" tint="-0.499984740745262"/>
        <rFont val="Calibri (Tekst)"/>
      </rPr>
      <t>SKEMAOPLYSNINGER</t>
    </r>
    <r>
      <rPr>
        <sz val="14"/>
        <color theme="4" tint="-0.499984740745262"/>
        <rFont val="Calibri"/>
        <family val="2"/>
        <scheme val="minor"/>
      </rPr>
      <t xml:space="preserve">: </t>
    </r>
    <r>
      <rPr>
        <sz val="12"/>
        <color theme="1"/>
        <rFont val="Arial"/>
        <family val="2"/>
      </rPr>
      <t>Skoleskema for skemadage. Her er mulighed for 4 skemaer i løbet af et skoleår. Udfyld skemaet og vælg hvorvidt der planlægges lektioner eller elevpausetid. Under skema 1 listes opgaver der placeres senere på året/i særlige måneder. Dette så tiden til de særlige opgaver tælles med i den måned opgaven planlægges i.</t>
    </r>
  </si>
  <si>
    <t>Planlægges der ikke for et helt skoleår men for en delperiode, gøres de dage der ikke planlægges med "ikke relevante". TIPS: Ikke relevante dage kan kopieres ned i en hel måned ved først at vælge den første dag som "Ikke relevant" (evt. de to første dage) og dernæst at "trække" i cellens nederste højre hjørne - ned i månedens kolonne. HUSK i fanen "stamoplysninger" at oplyse at der ikke planlægges for et helt skoleår.</t>
  </si>
  <si>
    <t>Er der planlagt for et helt skoleår, og skolen får brug for at opgøre arbejdstiden for en delperiode(evt. hvis en ansat opsiger sit arbejde eller ændrer beskæftigelsesgrad), kan værtøjet med fordel bruges til opgørelse af arbejdstiden. I fanen "stamoplysninger" oplyses at der ikke planlægges for et helt skoleår. I fanen Skemaoplysninger fjernes de opgaver der var planlagt særligt i måneder og som nu ikke længere er en del af den ansattes arbejdstid i delperioden. I månedeskalenderne markeres de dage der ikke er med i delperioden som "Ikke relevante". Timerne som i kolonne "K - R" tidligere var "gule" tælles ikke længere med i normperioden. I fanen "Opgørelse" vises nu hvordan arbejdstiden stemmer med den ansattes beskæftigelsesgrad.</t>
  </si>
  <si>
    <t>Reglerne omkring de særlige feriedage ændres ikke som følge af den nye ferielov. De særlige feriedage optjenes stadig i et kalenderår og afvikles i det kommende ferieår. Har man som ansat under statens ferieaftale været ansat hele optjeningsåret(2022), har man derfor ret til at afvikle 5 særlige feriedage til afvikling i ferieåret efter(1. maj 2023 - 30. april 2024). Den enkelte lærer kan selv bestemme, på hvilke af de i forvejen planlagte arbejdsdage man ønsker at afholde sine særlige feriedage, dog skal det være foreneligt med tjenesten og varsles i god tid. Har den ansatte ikke afviklet eller planlagt de særlige feriedage ved årsskiftet d. 1. januar 2024, har ledelsen retten til at planlægge dagene med 30 dages varsel, således de er afviklet når ferieåret slutter d. 30. april 2024. Særlige feriedage der ikke er afviklet d. 30. april, skal udbetales eller aftales(skriftligt) til overførsel til det kommende ferieår. En evt. aftale om overførsels af særlige feriedage til et nyt ferieår skal være skriftlig aftalt senest d. 30. april 2024.</t>
  </si>
  <si>
    <r>
      <rPr>
        <b/>
        <sz val="12"/>
        <color theme="4" tint="-0.499984740745262"/>
        <rFont val="Arial"/>
        <family val="2"/>
      </rPr>
      <t>TIMEFORBRUG:</t>
    </r>
    <r>
      <rPr>
        <sz val="12"/>
        <color theme="1"/>
        <rFont val="Arial"/>
        <family val="2"/>
      </rPr>
      <t xml:space="preserve"> Under hver måned optælles den enkelte måned med faktisk timeforbrug i forhold til normperiodens timetal. Er normperioden et helt skoleår tælles normperioden med 1924 fratrukket sh-dage og feriedage. Er normperioden for en del af et skole tælles de mulige arbejdsdage * beskæftigelsesgraden. For at kalenderværtøjet tæller rigtigt er det vigtigt at der i fanen "stamoplysninger" er oplyst om der planlægges for et helt skoleår eller for en delnormperiode.</t>
    </r>
  </si>
  <si>
    <r>
      <rPr>
        <b/>
        <sz val="12"/>
        <color theme="4" tint="-0.499984740745262"/>
        <rFont val="Arial"/>
        <family val="2"/>
      </rPr>
      <t xml:space="preserve">ULEMPE OG WEEKENDTIMER: </t>
    </r>
    <r>
      <rPr>
        <sz val="12"/>
        <color theme="1"/>
        <rFont val="Arial"/>
        <family val="2"/>
      </rPr>
      <t>Herudover tælles ulempe/weekendtimer til udbetaling og eller afspadsering. Her er det vigtigt at skolen i fanen "stamoplysninger" har valgt hvordan skolen forholder sig til ulempe/weekendtimer.</t>
    </r>
  </si>
  <si>
    <t>ARBEJDSTID:</t>
  </si>
  <si>
    <t>AFSPADSERING:</t>
  </si>
  <si>
    <t>SÆRLIE FERIEDAGE</t>
  </si>
  <si>
    <t>Særlige feriedage primo</t>
  </si>
  <si>
    <t>Særlige feriedage afholdt</t>
  </si>
  <si>
    <t>Særlige feriedage rest</t>
  </si>
  <si>
    <t xml:space="preserve">Særlige feriedage  </t>
  </si>
  <si>
    <t>OPGØRELSE AF ARBEJDSTIDEN</t>
  </si>
  <si>
    <t>Særlig feriedag</t>
  </si>
  <si>
    <t>Dato:</t>
  </si>
  <si>
    <t>Ikke afholdte særlige feriedage udbetales pr. 30. april, eller aftales skriftlig ovf. til næste ferieafholdelsesår.</t>
  </si>
  <si>
    <t>Skemaoplysninger</t>
  </si>
  <si>
    <t>I fanen skemaoplysninger skal skolen aktivt vælge om i skemaet oplyses en lektion eller elevpausetid. Valget sker i kolonne A, K, U og AE.</t>
  </si>
  <si>
    <t>Kalenderfaner</t>
  </si>
  <si>
    <t>Opgaver</t>
  </si>
  <si>
    <t>I fanen opgaver skal skolen oplyse de opgaver der forventes tælle minimum 60 klokketimer pr. skoleår. I fanen kan skolen nu oplyse om opgavens timetal er et estimeret tal eller om timetallet er aftalt via en lokalaftale indgået mellem skolen og TR/FSL.</t>
  </si>
  <si>
    <t>Skema 1-4 i printversion</t>
  </si>
  <si>
    <t>Skema 1-4 i printversion er flyttet længst til højre i værktøjet.</t>
  </si>
  <si>
    <t>Ændringer i planlægningsværktøjet 2023-2024 i forhold til sidste skoleår</t>
  </si>
  <si>
    <t>Halvårskalendere</t>
  </si>
  <si>
    <t>I de to halvårskalendere vises evt. tekst vedr. dagen og også hvis der er planlagt en aktivitet efter kl. 17.00</t>
  </si>
  <si>
    <t>Hvis den pågældende dag er en fagdag, emnedag, lejrskole eller en ekskursionsdag bliver cellerne herunder gule. Er dagen en pædagogisk dag er det dog kun kolonne "K" der bliver gult. Tast i de gule felter. OBS: Skal der være tid til "øvrige opgaver/forberedelse" skal skolen sikre sig der er arbejdstid udover undervisning og elevpausetid. Check kolonne Q.</t>
  </si>
  <si>
    <t>Antal arbejdstimer på hverdage imellem 17-06 (eks. 2 timer og 15 minutter tastes som 2,25)</t>
  </si>
  <si>
    <t>Antal arbejdstimer. (eks. 7 timer og 30 minutter tastes som 7,50)</t>
  </si>
  <si>
    <t>Antal undervisningstimer (eks. 4 timer og 30 minutter tastes som 4,50)</t>
  </si>
  <si>
    <t>Antal timer til elevpauser (eks. 1 time og 15 minutter tastes som 1,25)</t>
  </si>
  <si>
    <r>
      <t xml:space="preserve">Skema 1-4: </t>
    </r>
    <r>
      <rPr>
        <sz val="14"/>
        <color theme="4" tint="-0.499984740745262"/>
        <rFont val="Calibri"/>
        <family val="2"/>
        <scheme val="minor"/>
      </rPr>
      <t>I denne fane udfyldes skoleskema med lektioner og elevpausetid samt opgaver der planlægges i særlige måneder. I kolonne A, K, U og AE vælges om der planlægges med en lektion eller om der planlægges med elevpausetid. Vælges "lektion" overføres undervisningstiden/timerne automatisk til fanen "undervisningstillæg". I fanen "undervisningstillæg" aflæses antal undervisningstimer der skal betales undervisningstillæg efter. "Skemaoplysninger" tæller undervisningstimer/elevpausetimer, hvis der er angivet minuttal og beskrevet en lektion eller opgave i elevpausen. Opgave i elevpausen kan være gårdvagt, tilsyn, pause mm. Både undervisningstimer og timer til elevpauser bliver ført direkte over til de enkelte måneder. Skolen har mulighed for at planlægge med 4 skemaer pr. normperiode. Planlægger skolen kun med et skema udfyldes skema 1. Planlægger skolen med to skemaer udfyldes skema 1 og 2 osv.</t>
    </r>
  </si>
  <si>
    <t>Stamdata</t>
  </si>
  <si>
    <t>Celle E12. Planlægges der for et helt skoleår skal der her stå "Ja". Planlægges der for en del af et skoleår skal der stå "nej"</t>
  </si>
  <si>
    <t>Check at der i kolonne A, K, U og AE er valgt korrekt i forhold til om der planlægges med lektioner eller elevpausetid.</t>
  </si>
  <si>
    <t>Skoleårets måneder august - juli</t>
  </si>
  <si>
    <t>Check at der er oplys et timetal i de celler der er oplyst med gult.</t>
  </si>
  <si>
    <t>Arbejdstidsoversigt</t>
  </si>
  <si>
    <t>Celle I36. Er der her det antal skoledage læreren skal undervise. Normalt undervises der 200 skoledage. Hvis ikke der står 200 dage, skal der kunne svares på hvorfor. Det kan være at læreren ikke har en 5 dages arbejdsuge eller at lærerne har en pædagogisk dag på en hverdag, hvor forældrene overtager undervisningen.</t>
  </si>
  <si>
    <t xml:space="preserve">Celle D79. Tallet her skal gå så meget i nul som muligt. Hvis der står et tal i minus, skal der tildeles mere arbejdstid enten i kalenderne eller på undervisningsdagene i fanen "arbejdstidsoversigt". Står der et tal i plus, er der planlagt med for mange timer, og der skal fjernes timer enten i kalenderne eller på undervisningsdagene i fanen "arbejdstidsoversigt". </t>
  </si>
  <si>
    <t>K32 viser hvor mange timer der er til opgaver der tæller mindre end 60 klokketimer. Står der her et tal i plus skal skolen nedenfor anføre opgaver svarende til timetallet. Står der et tal i minus, har skolen givet for mange opgaver ovenfor og skal derfor fjerne opgaver tilsvarende. Det kan også være at man istedet skal tilbyde den ansatte en forhøjet beskæftigelsesgrad der passer til opgaverne arbejdstiden.</t>
  </si>
  <si>
    <t>Efter at skolen er færdig med at planlægge arbejdstiden for den enkelte lærer og børnehaveklasseleder, kan man med fordel checke følgende:</t>
  </si>
  <si>
    <t>K7 viser hvor mange timer der er til øvrige opgaver der tæller mere end 60 klokketimer og til opgaver der tæller mindre end 60 klokketimer. Check at der her er timer nok til de opgaver skolen oplyser tid til og også til opgaver hvor skolen ikke oplyser tid til.</t>
  </si>
  <si>
    <t>Gode råd til check</t>
  </si>
  <si>
    <t>Efter at skolen har planlagt den ansattes arbejdstid, råder vi skolen til at gå fanen "gode råd til check" igennem. Punkterne der her er beskrevet, er de punkter der oftes begås fejl i.</t>
  </si>
  <si>
    <t>Rigtig god arbejdslyst</t>
  </si>
  <si>
    <t>Antal timer og minutter</t>
  </si>
  <si>
    <t>Oplys hvis tilskrevet dage eller hvis den ansatte er startet denne mdr. Tast også her evt. ovf. særlige feriedage fra sidste år (Kræver en skriftlig aftale).</t>
  </si>
  <si>
    <t>Arbedstid eks. lørdage og søndage</t>
  </si>
  <si>
    <t>Tast her skoleskema med lektioner og tid til elevpauser, varighed, fag mm. Start med at udfylde celle "C10" - Skriv her startstidspunkt for skoledagens start. Er startstidspunktet kl. 8.00 skrives 08:00. Oplys derefter antal minutter hver lektion, pause/tilsyn varer. Eksempel: 45 min = 0:45 - 1 time = 1:00 - 1 time og 10 min. = 1:10</t>
  </si>
  <si>
    <t>Tast her skoleskema med lektioner og pauser/tilsynstid, varighed, fag mm. Start med at udfylde celle "M10" - Skriv her startstidspunkt for skoledagens start. Er startstidspunktet kl. 8.00 skrives 08:00. Oplys derefter antal minutter hver lektion, pause/tilsyn varer. Eksempel: 45 min = 0:45 - 1 time = 1:00 - 1 time og 10 min. = 1:10</t>
  </si>
  <si>
    <t>Tast her skoleskema med lektioner og pauser/tilsynstid, varighed, fag mm. Start med at udfylde celle "W10" - Skriv her startstidspunkt for skoledagens start. Er startstidspunktet kl. 8.00 skrives 08:00. Oplys derefter antal minutter hver lektion, pause/tilsyn varer. Eksempel: 45 min = 0:45 - 1 time = 1:00 - 1 time og 10 min. = 1:10</t>
  </si>
  <si>
    <t>Tast her skoleskema med lektioner og pauser/tilsynstid, varighed, fag mm. Start med at udfylde celle "AG10" - Skriv her startstidspunkt for skoledagens start. Er startstidspunktet kl. 8.00 skrives 08:00. Oplys derefter antal minutter hver lektion, pause/tilsyn varer. Eksempel: 45 min = 0:45 - 1 time = 1:00 - 1 time og 10 min. = 1:10</t>
  </si>
  <si>
    <t>Opgaverne er placeret i tidsrummet 7:30 - 17:00</t>
  </si>
  <si>
    <t>Opgaver der placeres senere på året</t>
  </si>
  <si>
    <t>List her opgaverne og vælg med piletasten hvilken måned opgaven/opgaverne løses i samt estimeret tid til opgaven.</t>
  </si>
  <si>
    <t>Udfyld nu hver måned i normperioden. Det er vigtigt at de dage/måneder hvor den ansatte evt. ikke er ansat vælges som "Ikke relevante".</t>
  </si>
  <si>
    <r>
      <rPr>
        <b/>
        <sz val="12"/>
        <color theme="4" tint="-0.499984740745262"/>
        <rFont val="Arial"/>
        <family val="2"/>
      </rPr>
      <t>OPGØRELSE:</t>
    </r>
    <r>
      <rPr>
        <b/>
        <sz val="12"/>
        <color theme="1"/>
        <rFont val="Arial"/>
        <family val="2"/>
      </rPr>
      <t xml:space="preserve"> </t>
    </r>
    <r>
      <rPr>
        <sz val="12"/>
        <color theme="1"/>
        <rFont val="Arial"/>
        <family val="2"/>
      </rPr>
      <t xml:space="preserve">Sker der ændringer i den planlagte arbejdstid vælges med et "X" i kolonne S, T og U hvad ændringen vedrører. HUSK afspadsering skal oplyses i hver enkelt måneds afspadseringsskema og ikke som en ændring. Efter ændringen/ændringerne er valgt med et "X" udfyldes de nu oplyste gule felter med det timetal den planlagte timetal er ændret med. I tilfælde af fravær mere end 4 uger, tælles hver dag(fra dag 1) som 7,4 timer * beskæftigelsesgraden. Bemærk at ved sygdom ændres der IKKE på den planlagte undervisningstid. </t>
    </r>
  </si>
  <si>
    <r>
      <rPr>
        <b/>
        <sz val="12"/>
        <color theme="4" tint="-0.499984740745262"/>
        <rFont val="Arial"/>
        <family val="2"/>
      </rPr>
      <t>FORHÅNDSUDFYLDT:</t>
    </r>
    <r>
      <rPr>
        <sz val="12"/>
        <color theme="1"/>
        <rFont val="Arial"/>
        <family val="2"/>
      </rPr>
      <t xml:space="preserve"> Værktøjet er forhåndsudfyldt med weekenddage, søgnehelligdage, 25 feriedage efter organisationsaftalen, 200 skoledage og nuldage. Hvornår en skole starter efter sommerferien, hvordan juleferien planlægges og hvornår sommerferien begynder er forskelligt fra skole til skole og fra kommune til kommune. Check derfor evt. kommunens ferieplan. </t>
    </r>
  </si>
  <si>
    <r>
      <rPr>
        <b/>
        <sz val="12"/>
        <color theme="4" tint="-0.499984740745262"/>
        <rFont val="Arial"/>
        <family val="2"/>
      </rPr>
      <t>SÆRLIGE FERIEDAGE OG OMSORGSDAGE/SENIORDAGE:</t>
    </r>
    <r>
      <rPr>
        <sz val="12"/>
        <color theme="1"/>
        <rFont val="Arial"/>
        <family val="2"/>
      </rPr>
      <t xml:space="preserve"> Værktøjet kan bruges til at holde styr på særlige feriedage (6. ferieuge eller feriefridage) og omsorgsdage/seniordage. Her er det vigtigt der ikke ændres i selve kalenderen, men at ajurføringen af afholdte dage udelukkende sker i skemaet under kalenderen. Læs noten i skemaet.</t>
    </r>
  </si>
  <si>
    <t>Under hver måned er der en opgørelse pr. måned. Herudover er der optælling på den enkelte måneds ulempetillæg/weekendtillæg der skal til udbetaling, samt opgørelse over afspadsering. Er der varslet afspadsering oplyses afspadseringstimerne i dette skema. IKKE som en ændring i kalenderen. Udbetaling sker med den ansattes nettotimeløn. Sidst i dette værktøj findes en beregner til beregning af nettotimelønnen. Det er også muligt for at holde "regnskab" med skyldige særlige feriedage/feriefridage/6. ferieuge og omsorgsdage/seniordage. Læs noten herom i skemaet.</t>
  </si>
  <si>
    <t>Omsorgsdage eller seniorbonusdage</t>
  </si>
  <si>
    <t>Omsorgsdag/seniorbonusdage</t>
  </si>
  <si>
    <r>
      <t xml:space="preserve">Vælg med "X" om der afholdes en omsorgsdag/seniorbonusdag eller særlig feriedag samt dato </t>
    </r>
    <r>
      <rPr>
        <sz val="10"/>
        <rFont val="Arial"/>
        <family val="2"/>
      </rPr>
      <t>(Afholdelse af disse dage medfører IKKE en ændring i arbejdstiden, men registreres i dette skema).</t>
    </r>
  </si>
  <si>
    <t>Antal arbejdsdage</t>
  </si>
  <si>
    <t>Antal sh-dage</t>
  </si>
  <si>
    <t xml:space="preserve">Pulje til øvrige opgaver(Opgaver der tæller mindre end 60 timer pr. år). 	</t>
  </si>
  <si>
    <r>
      <t xml:space="preserve">MÅLSØGNING: Timerne i celle "k32" viser de timer der er tilbage til de opgaver der listes herunder og som ikke tæller 60 klokketimer.  Kan skolen ikke bruge disse timer eller dem alle, kan man med fordel bruge funktionen "målsøgning" . Med målsøgning kan skolen selv vælge de timer der skal stå ved at ændre på den anattes beskæftigelsesgrad. </t>
    </r>
    <r>
      <rPr>
        <b/>
        <sz val="12"/>
        <color theme="0"/>
        <rFont val="Calibri"/>
        <family val="2"/>
        <scheme val="minor"/>
      </rPr>
      <t>Det er dog vigtigt at bemærke at man ikke uden en aftale ændrer på den ansattes beskæftigelsesgrad</t>
    </r>
    <r>
      <rPr>
        <sz val="12"/>
        <color theme="0"/>
        <rFont val="Calibri"/>
        <family val="2"/>
        <scheme val="minor"/>
      </rPr>
      <t xml:space="preserve">. Sådan udføres målsøgning: Stå på cellen "K32" og klik på menuen 'Funktioner' og vælg 'Målsøgning', eller vælg 'Data' i båndet og klik på "Hvad-hvis" eller "what/if". I angiv celle skal der stå: "K32". Til værdi skal der stå det timetal der ønskes (evt. nul). Ved ændring af celle - Klikkes her i celle "E13" i fanen stamoplysninger. På denne måde tilpasses beskæftigelsesgraden den ønskede værdi.  </t>
    </r>
  </si>
  <si>
    <t>6</t>
  </si>
  <si>
    <t>Dem til højre er ændringer der fratrækkes hvis dagen er ikke relevant</t>
  </si>
  <si>
    <t xml:space="preserve">Under hver månedskalender er der mulighed for at have en oversigt over skyldige særlige feriedage (6. ferieuge, feriefridage) og omsorgsdage/seniorbonusfridage Da særlige feriedage er en gæld skolen har til de ansatte fremgår dagene også i fanen "opgørelse". </t>
  </si>
  <si>
    <t xml:space="preserve">I skoleåret er der 8 søgnehelligdage. Disse dage er helligdage, der IKKE falder på en lørdag eller søndag. </t>
  </si>
  <si>
    <t>SKEMA 1</t>
  </si>
  <si>
    <t>SKEMA 2</t>
  </si>
  <si>
    <t>SKEMA 3</t>
  </si>
  <si>
    <t>SKEMA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</si>
</sst>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 _k_r_-;\-* #,##0.00\ _k_r_-;_-* &quot;-&quot;??\ _k_r_-;_-@_-"/>
    <numFmt numFmtId="165" formatCode="0.0000"/>
    <numFmt numFmtId="166" formatCode="hh:mm;@"/>
    <numFmt numFmtId="167" formatCode="mm"/>
    <numFmt numFmtId="168" formatCode="_-&quot;kr.&quot;* #,##0_-;\-&quot;kr.&quot;* #,##0_-;_-&quot;kr.&quot;* &quot;-&quot;_-;_-@_-"/>
    <numFmt numFmtId="169" formatCode="_-&quot;kr.&quot;* #,##0.00_-;\-&quot;kr.&quot;* #,##0.00_-;_-&quot;kr.&quot;* &quot;-&quot;??_-;_-@_-"/>
    <numFmt numFmtId="170" formatCode="#,##0.0"/>
    <numFmt numFmtId="171" formatCode="#,##0.0000"/>
    <numFmt numFmtId="172" formatCode="#,##0.00&quot;kr.&quot;;\-#,##0.00&quot;kr.&quot;"/>
    <numFmt numFmtId="173" formatCode="0.0%"/>
    <numFmt numFmtId="174" formatCode="000\-000"/>
    <numFmt numFmtId="175" formatCode="dd:mm:yyyy;@"/>
    <numFmt numFmtId="176" formatCode=";;;"/>
    <numFmt numFmtId="177" formatCode="[$-F400]h:mm:ss\ AM/PM"/>
  </numFmts>
  <fonts count="138">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i/>
      <sz val="18"/>
      <color theme="1"/>
      <name val="Calibri"/>
      <family val="2"/>
      <scheme val="minor"/>
    </font>
    <font>
      <sz val="22"/>
      <color theme="1"/>
      <name val="Calibri"/>
      <family val="2"/>
      <scheme val="minor"/>
    </font>
    <font>
      <sz val="10"/>
      <color theme="1"/>
      <name val="Calibri"/>
      <family val="2"/>
      <scheme val="minor"/>
    </font>
    <font>
      <sz val="12"/>
      <color rgb="FF000000"/>
      <name val="Calibri"/>
      <family val="2"/>
      <scheme val="minor"/>
    </font>
    <font>
      <sz val="24"/>
      <color theme="1"/>
      <name val="Calibri"/>
      <family val="2"/>
      <scheme val="minor"/>
    </font>
    <font>
      <b/>
      <sz val="14"/>
      <color theme="1"/>
      <name val="Calibri"/>
      <family val="2"/>
      <scheme val="minor"/>
    </font>
    <font>
      <sz val="12"/>
      <color theme="0"/>
      <name val="Calibri"/>
      <family val="2"/>
      <scheme val="minor"/>
    </font>
    <font>
      <sz val="12"/>
      <color rgb="FFFF0000"/>
      <name val="Calibri"/>
      <family val="2"/>
      <scheme val="minor"/>
    </font>
    <font>
      <sz val="10"/>
      <color theme="1"/>
      <name val="Calibri"/>
      <family val="2"/>
    </font>
    <font>
      <i/>
      <sz val="12"/>
      <color theme="1"/>
      <name val="Calibri"/>
      <family val="2"/>
      <scheme val="minor"/>
    </font>
    <font>
      <i/>
      <sz val="10"/>
      <color theme="1"/>
      <name val="Calibri"/>
      <family val="2"/>
      <scheme val="minor"/>
    </font>
    <font>
      <sz val="10"/>
      <name val="Arial"/>
      <family val="2"/>
    </font>
    <font>
      <b/>
      <sz val="24"/>
      <name val="Arial"/>
      <family val="2"/>
    </font>
    <font>
      <sz val="12"/>
      <name val="Helvetica"/>
      <family val="2"/>
    </font>
    <font>
      <sz val="16"/>
      <name val="Helvetica"/>
      <family val="2"/>
    </font>
    <font>
      <b/>
      <sz val="14"/>
      <name val="Helvetica"/>
      <family val="2"/>
    </font>
    <font>
      <b/>
      <sz val="16"/>
      <name val="Helvetica"/>
      <family val="2"/>
    </font>
    <font>
      <sz val="9"/>
      <name val="Helvetica"/>
      <family val="2"/>
    </font>
    <font>
      <sz val="36"/>
      <name val="Helvetica"/>
      <family val="2"/>
    </font>
    <font>
      <b/>
      <sz val="18"/>
      <name val="Helvetica"/>
      <family val="2"/>
    </font>
    <font>
      <sz val="18"/>
      <name val="Helvetica"/>
      <family val="2"/>
    </font>
    <font>
      <sz val="8"/>
      <name val="Arial"/>
      <family val="2"/>
    </font>
    <font>
      <i/>
      <sz val="9"/>
      <name val="Helvetica"/>
      <family val="2"/>
    </font>
    <font>
      <i/>
      <sz val="10"/>
      <name val="Arial"/>
      <family val="2"/>
    </font>
    <font>
      <i/>
      <sz val="8"/>
      <name val="Arial"/>
      <family val="2"/>
    </font>
    <font>
      <sz val="14"/>
      <name val="Helvetica"/>
      <family val="2"/>
    </font>
    <font>
      <sz val="12"/>
      <name val="Arial"/>
      <family val="2"/>
    </font>
    <font>
      <sz val="12"/>
      <name val="Chicago"/>
    </font>
    <font>
      <sz val="10"/>
      <name val="Courier"/>
      <family val="1"/>
    </font>
    <font>
      <u/>
      <sz val="10"/>
      <color indexed="36"/>
      <name val="Arial"/>
      <family val="2"/>
    </font>
    <font>
      <sz val="10"/>
      <name val="Helvetica"/>
      <family val="2"/>
    </font>
    <font>
      <sz val="12"/>
      <name val="Calibri"/>
      <family val="2"/>
      <scheme val="minor"/>
    </font>
    <font>
      <b/>
      <sz val="10"/>
      <name val="Arial"/>
      <family val="2"/>
    </font>
    <font>
      <b/>
      <sz val="12"/>
      <name val="Arial"/>
      <family val="2"/>
    </font>
    <font>
      <b/>
      <sz val="12"/>
      <name val="Helvetica"/>
      <family val="2"/>
    </font>
    <font>
      <sz val="12"/>
      <color indexed="10"/>
      <name val="Arial"/>
      <family val="2"/>
    </font>
    <font>
      <i/>
      <sz val="14"/>
      <name val="Helvetica"/>
      <family val="2"/>
    </font>
    <font>
      <b/>
      <i/>
      <sz val="14"/>
      <name val="Helvetica"/>
      <family val="2"/>
    </font>
    <font>
      <sz val="8"/>
      <name val="Helvetica"/>
      <family val="2"/>
    </font>
    <font>
      <sz val="9"/>
      <name val="Arial"/>
      <family val="2"/>
    </font>
    <font>
      <sz val="10"/>
      <color indexed="12"/>
      <name val="Arial"/>
      <family val="2"/>
    </font>
    <font>
      <b/>
      <sz val="10"/>
      <name val="Helvetica"/>
      <family val="2"/>
    </font>
    <font>
      <sz val="11"/>
      <name val="Arial"/>
      <family val="2"/>
    </font>
    <font>
      <sz val="14"/>
      <name val="Arial"/>
      <family val="2"/>
    </font>
    <font>
      <b/>
      <sz val="14"/>
      <name val="Arial"/>
      <family val="2"/>
    </font>
    <font>
      <sz val="24"/>
      <name val="Arial"/>
      <family val="2"/>
    </font>
    <font>
      <i/>
      <sz val="16"/>
      <name val="Helvetica"/>
      <family val="2"/>
    </font>
    <font>
      <i/>
      <sz val="16"/>
      <color theme="1"/>
      <name val="Helvetica"/>
      <family val="2"/>
    </font>
    <font>
      <i/>
      <sz val="20"/>
      <name val="Helvetica"/>
      <family val="2"/>
    </font>
    <font>
      <i/>
      <sz val="9"/>
      <color theme="0"/>
      <name val="Helvetica"/>
      <family val="2"/>
    </font>
    <font>
      <sz val="10"/>
      <color theme="1"/>
      <name val="Arial"/>
      <family val="2"/>
    </font>
    <font>
      <sz val="12"/>
      <color theme="1"/>
      <name val="Arial"/>
      <family val="2"/>
    </font>
    <font>
      <b/>
      <sz val="12"/>
      <color theme="1"/>
      <name val="Arial"/>
      <family val="2"/>
    </font>
    <font>
      <sz val="12"/>
      <color theme="0"/>
      <name val="Helvetica"/>
      <family val="2"/>
    </font>
    <font>
      <sz val="10"/>
      <color theme="0"/>
      <name val="Arial"/>
      <family val="2"/>
    </font>
    <font>
      <b/>
      <sz val="10"/>
      <color theme="0"/>
      <name val="Arial"/>
      <family val="2"/>
    </font>
    <font>
      <i/>
      <sz val="14"/>
      <color theme="0"/>
      <name val="Helvetica"/>
      <family val="2"/>
    </font>
    <font>
      <sz val="12"/>
      <color theme="0"/>
      <name val="Arial"/>
      <family val="2"/>
    </font>
    <font>
      <i/>
      <sz val="14"/>
      <color rgb="FF000000"/>
      <name val="Helvetica"/>
      <family val="2"/>
    </font>
    <font>
      <i/>
      <sz val="14"/>
      <color rgb="FFFFFFFF"/>
      <name val="Helvetica"/>
      <family val="2"/>
    </font>
    <font>
      <sz val="14"/>
      <color theme="1"/>
      <name val="Calibri"/>
      <family val="2"/>
      <scheme val="minor"/>
    </font>
    <font>
      <b/>
      <sz val="12"/>
      <color theme="0"/>
      <name val="Arial"/>
      <family val="2"/>
    </font>
    <font>
      <i/>
      <sz val="8"/>
      <name val="Helvetica"/>
      <family val="2"/>
    </font>
    <font>
      <b/>
      <i/>
      <sz val="12"/>
      <color theme="1"/>
      <name val="Arial"/>
      <family val="2"/>
    </font>
    <font>
      <i/>
      <sz val="12"/>
      <color theme="1"/>
      <name val="Arial"/>
      <family val="2"/>
    </font>
    <font>
      <b/>
      <sz val="12"/>
      <color theme="0"/>
      <name val="Calibri"/>
      <family val="2"/>
      <scheme val="minor"/>
    </font>
    <font>
      <b/>
      <sz val="10"/>
      <color theme="1"/>
      <name val="Arial"/>
      <family val="2"/>
    </font>
    <font>
      <sz val="12"/>
      <color theme="1"/>
      <name val="Calibri (Tekst)"/>
    </font>
    <font>
      <sz val="10"/>
      <color rgb="FFFF0000"/>
      <name val="Arial"/>
      <family val="2"/>
    </font>
    <font>
      <sz val="20"/>
      <name val="Arial"/>
      <family val="2"/>
    </font>
    <font>
      <sz val="16"/>
      <name val="Arial"/>
      <family val="2"/>
    </font>
    <font>
      <sz val="20"/>
      <color theme="0"/>
      <name val="Arial"/>
      <family val="2"/>
    </font>
    <font>
      <sz val="14"/>
      <color rgb="FFFF0000"/>
      <name val="Calibri"/>
      <family val="2"/>
      <scheme val="minor"/>
    </font>
    <font>
      <b/>
      <sz val="12"/>
      <color theme="0"/>
      <name val="Calibri (Tekst)"/>
    </font>
    <font>
      <b/>
      <sz val="14"/>
      <color theme="0"/>
      <name val="Calibri"/>
      <family val="2"/>
      <scheme val="minor"/>
    </font>
    <font>
      <b/>
      <sz val="14"/>
      <color theme="0"/>
      <name val="Calibri (Tekst)"/>
    </font>
    <font>
      <sz val="24"/>
      <color theme="0"/>
      <name val="Calibri"/>
      <family val="2"/>
      <scheme val="minor"/>
    </font>
    <font>
      <sz val="14"/>
      <color theme="0"/>
      <name val="Calibri"/>
      <family val="2"/>
      <scheme val="minor"/>
    </font>
    <font>
      <sz val="20"/>
      <color theme="0"/>
      <name val="Calibri"/>
      <family val="2"/>
      <scheme val="minor"/>
    </font>
    <font>
      <sz val="20"/>
      <name val="Helvetica"/>
      <family val="2"/>
    </font>
    <font>
      <sz val="12"/>
      <color rgb="FFFF0000"/>
      <name val="Arial"/>
      <family val="2"/>
    </font>
    <font>
      <sz val="48"/>
      <color theme="0"/>
      <name val="Calibri"/>
      <family val="2"/>
      <scheme val="minor"/>
    </font>
    <font>
      <b/>
      <sz val="14"/>
      <color theme="4" tint="-0.499984740745262"/>
      <name val="Calibri"/>
      <family val="2"/>
      <scheme val="minor"/>
    </font>
    <font>
      <b/>
      <sz val="12"/>
      <color theme="0"/>
      <name val="Helvetica"/>
      <family val="2"/>
    </font>
    <font>
      <sz val="14"/>
      <color theme="4" tint="-0.499984740745262"/>
      <name val="Calibri"/>
      <family val="2"/>
      <scheme val="minor"/>
    </font>
    <font>
      <b/>
      <sz val="16"/>
      <color theme="4" tint="-0.499984740745262"/>
      <name val="Calibri"/>
      <family val="2"/>
      <scheme val="minor"/>
    </font>
    <font>
      <b/>
      <sz val="24"/>
      <color theme="0"/>
      <name val="Calibri"/>
      <family val="2"/>
      <scheme val="minor"/>
    </font>
    <font>
      <sz val="10"/>
      <color theme="0"/>
      <name val="Helvetica"/>
      <family val="2"/>
    </font>
    <font>
      <sz val="36"/>
      <color theme="0"/>
      <name val="Calibri"/>
      <family val="2"/>
      <scheme val="minor"/>
    </font>
    <font>
      <sz val="28"/>
      <color theme="0"/>
      <name val="Calibri"/>
      <family val="2"/>
      <scheme val="minor"/>
    </font>
    <font>
      <b/>
      <sz val="12"/>
      <color theme="4" tint="-0.499984740745262"/>
      <name val="Arial"/>
      <family val="2"/>
    </font>
    <font>
      <b/>
      <sz val="14"/>
      <color theme="4" tint="-0.499984740745262"/>
      <name val="Calibri (Tekst)"/>
    </font>
    <font>
      <b/>
      <sz val="18"/>
      <color theme="4" tint="-0.499984740745262"/>
      <name val="Helvetica"/>
      <family val="2"/>
    </font>
    <font>
      <i/>
      <sz val="14"/>
      <color theme="4" tint="-0.499984740745262"/>
      <name val="Helvetica"/>
      <family val="2"/>
    </font>
    <font>
      <sz val="16"/>
      <color theme="0"/>
      <name val="Calibri"/>
      <family val="2"/>
      <scheme val="minor"/>
    </font>
    <font>
      <sz val="12"/>
      <color theme="0"/>
      <name val="Calibri (Tekst)"/>
    </font>
    <font>
      <b/>
      <sz val="10"/>
      <color rgb="FFFF0000"/>
      <name val="Arial"/>
      <family val="2"/>
    </font>
    <font>
      <sz val="16"/>
      <color theme="4" tint="-0.499984740745262"/>
      <name val="Calibri"/>
      <family val="2"/>
      <scheme val="minor"/>
    </font>
    <font>
      <b/>
      <sz val="18"/>
      <color theme="0"/>
      <name val="Calibri"/>
      <family val="2"/>
      <scheme val="minor"/>
    </font>
    <font>
      <b/>
      <sz val="10"/>
      <color theme="7" tint="-0.249977111117893"/>
      <name val="Arial"/>
      <family val="2"/>
    </font>
    <font>
      <sz val="12"/>
      <color theme="7" tint="-0.249977111117893"/>
      <name val="Calibri"/>
      <family val="2"/>
      <scheme val="minor"/>
    </font>
    <font>
      <sz val="12"/>
      <color rgb="FFFF2F82"/>
      <name val="Calibri"/>
      <family val="2"/>
      <scheme val="minor"/>
    </font>
    <font>
      <b/>
      <sz val="10"/>
      <color rgb="FFFF2F82"/>
      <name val="Arial"/>
      <family val="2"/>
    </font>
    <font>
      <sz val="12"/>
      <color rgb="FF00B050"/>
      <name val="Calibri"/>
      <family val="2"/>
      <scheme val="minor"/>
    </font>
    <font>
      <b/>
      <sz val="10"/>
      <color rgb="FF00B050"/>
      <name val="Arial"/>
      <family val="2"/>
    </font>
    <font>
      <sz val="12"/>
      <color theme="5" tint="-0.249977111117893"/>
      <name val="Calibri"/>
      <family val="2"/>
      <scheme val="minor"/>
    </font>
    <font>
      <b/>
      <sz val="10"/>
      <color theme="5" tint="-0.249977111117893"/>
      <name val="Arial"/>
      <family val="2"/>
    </font>
    <font>
      <sz val="18"/>
      <color theme="1"/>
      <name val="Calibri"/>
      <family val="2"/>
      <scheme val="minor"/>
    </font>
    <font>
      <b/>
      <sz val="10"/>
      <color theme="4" tint="-0.499984740745262"/>
      <name val="Arial"/>
      <family val="2"/>
    </font>
    <font>
      <sz val="10"/>
      <color theme="4" tint="-0.499984740745262"/>
      <name val="Arial"/>
      <family val="2"/>
    </font>
    <font>
      <sz val="10"/>
      <color theme="4" tint="-0.499984740745262"/>
      <name val="Helvetica"/>
      <family val="2"/>
    </font>
    <font>
      <sz val="12"/>
      <color theme="4" tint="-0.499984740745262"/>
      <name val="Calibri"/>
      <family val="2"/>
      <scheme val="minor"/>
    </font>
    <font>
      <sz val="9"/>
      <color theme="4" tint="-0.499984740745262"/>
      <name val="Arial"/>
      <family val="2"/>
    </font>
    <font>
      <sz val="9"/>
      <color theme="4" tint="-0.499984740745262"/>
      <name val="Helvetica"/>
      <family val="2"/>
    </font>
    <font>
      <sz val="10"/>
      <color rgb="FF000000"/>
      <name val="Tahoma"/>
      <family val="2"/>
    </font>
    <font>
      <b/>
      <sz val="10"/>
      <color rgb="FF000000"/>
      <name val="Tahoma"/>
      <family val="2"/>
    </font>
    <font>
      <sz val="20"/>
      <color theme="1"/>
      <name val="Arial"/>
      <family val="2"/>
    </font>
    <font>
      <sz val="10"/>
      <color rgb="FF000000"/>
      <name val="Arial"/>
      <family val="2"/>
    </font>
    <font>
      <sz val="10"/>
      <color rgb="FFFFFFFF"/>
      <name val="Arial"/>
      <family val="2"/>
    </font>
    <font>
      <b/>
      <sz val="10"/>
      <color rgb="FF000000"/>
      <name val="Arial"/>
      <family val="2"/>
    </font>
    <font>
      <b/>
      <sz val="20"/>
      <color theme="4" tint="-0.499984740745262"/>
      <name val="Calibri"/>
      <family val="2"/>
      <scheme val="minor"/>
    </font>
    <font>
      <b/>
      <sz val="18"/>
      <color theme="4" tint="-0.499984740745262"/>
      <name val="Calibri"/>
      <family val="2"/>
      <scheme val="minor"/>
    </font>
    <font>
      <sz val="10"/>
      <color rgb="FF000000"/>
      <name val="Calibri"/>
      <family val="2"/>
      <scheme val="minor"/>
    </font>
    <font>
      <b/>
      <sz val="10"/>
      <color rgb="FF000000"/>
      <name val="Calibri"/>
      <family val="2"/>
      <scheme val="minor"/>
    </font>
    <font>
      <b/>
      <sz val="10"/>
      <color rgb="FF000000"/>
      <name val="Calibri"/>
      <family val="2"/>
    </font>
    <font>
      <sz val="10"/>
      <color rgb="FF000000"/>
      <name val="Calibri"/>
      <family val="2"/>
    </font>
    <font>
      <sz val="9"/>
      <color theme="0"/>
      <name val="Helvetica"/>
      <family val="2"/>
    </font>
  </fonts>
  <fills count="4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EFB4B"/>
        <bgColor indexed="64"/>
      </patternFill>
    </fill>
    <fill>
      <patternFill patternType="solid">
        <fgColor theme="0" tint="-0.249977111117893"/>
        <bgColor indexed="64"/>
      </patternFill>
    </fill>
    <fill>
      <patternFill patternType="gray125">
        <bgColor theme="0" tint="-0.14999847407452621"/>
      </patternFill>
    </fill>
    <fill>
      <patternFill patternType="gray125">
        <bgColor theme="0" tint="-4.9989318521683403E-2"/>
      </patternFill>
    </fill>
    <fill>
      <patternFill patternType="solid">
        <fgColor indexed="42"/>
        <bgColor indexed="64"/>
      </patternFill>
    </fill>
    <fill>
      <patternFill patternType="gray0625"/>
    </fill>
    <fill>
      <patternFill patternType="lightGray"/>
    </fill>
    <fill>
      <patternFill patternType="gray125">
        <bgColor theme="0"/>
      </patternFill>
    </fill>
    <fill>
      <patternFill patternType="solid">
        <fgColor rgb="FFFF2F8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auto="1"/>
        <bgColor indexed="64"/>
      </patternFill>
    </fill>
    <fill>
      <patternFill patternType="solid">
        <fgColor theme="1"/>
        <bgColor rgb="FF000000"/>
      </patternFill>
    </fill>
    <fill>
      <patternFill patternType="solid">
        <fgColor rgb="FFC4D79B"/>
        <bgColor rgb="FF000000"/>
      </patternFill>
    </fill>
    <fill>
      <patternFill patternType="solid">
        <fgColor rgb="FF000000"/>
        <bgColor rgb="FF0000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4" tint="0.79998168889431442"/>
        <bgColor rgb="FF000000"/>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249977111117893"/>
        <bgColor rgb="FF000000"/>
      </patternFill>
    </fill>
    <fill>
      <patternFill patternType="solid">
        <fgColor theme="6" tint="-0.249977111117893"/>
        <bgColor indexed="64"/>
      </patternFill>
    </fill>
    <fill>
      <patternFill patternType="solid">
        <fgColor rgb="FFD9D9D9"/>
        <bgColor rgb="FF000000"/>
      </patternFill>
    </fill>
    <fill>
      <patternFill patternType="solid">
        <fgColor rgb="FFDCE6F1"/>
        <bgColor rgb="FF000000"/>
      </patternFill>
    </fill>
    <fill>
      <patternFill patternType="solid">
        <fgColor rgb="FFB8CCE4"/>
        <bgColor rgb="FF000000"/>
      </patternFill>
    </fill>
    <fill>
      <patternFill patternType="solid">
        <fgColor rgb="FF95B3D7"/>
        <bgColor rgb="FF000000"/>
      </patternFill>
    </fill>
    <fill>
      <patternFill patternType="solid">
        <fgColor rgb="FF366092"/>
        <bgColor rgb="FF000000"/>
      </patternFill>
    </fill>
    <fill>
      <patternFill patternType="solid">
        <fgColor rgb="FFFFFFFF"/>
        <bgColor rgb="FF000000"/>
      </patternFill>
    </fill>
    <fill>
      <patternFill patternType="solid">
        <fgColor rgb="FF244062"/>
        <bgColor rgb="FF000000"/>
      </patternFill>
    </fill>
  </fills>
  <borders count="9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style="thin">
        <color auto="1"/>
      </right>
      <top/>
      <bottom/>
      <diagonal/>
    </border>
    <border>
      <left/>
      <right style="thin">
        <color rgb="FF000000"/>
      </right>
      <top style="thin">
        <color auto="1"/>
      </top>
      <bottom style="thin">
        <color auto="1"/>
      </bottom>
      <diagonal/>
    </border>
    <border>
      <left/>
      <right style="thin">
        <color auto="1"/>
      </right>
      <top/>
      <bottom style="hair">
        <color auto="1"/>
      </bottom>
      <diagonal/>
    </border>
    <border>
      <left/>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hair">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thin">
        <color auto="1"/>
      </top>
      <bottom/>
      <diagonal/>
    </border>
    <border>
      <left/>
      <right style="medium">
        <color auto="1"/>
      </right>
      <top/>
      <bottom/>
      <diagonal/>
    </border>
    <border>
      <left style="medium">
        <color auto="1"/>
      </left>
      <right style="thin">
        <color auto="1"/>
      </right>
      <top style="thin">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style="medium">
        <color indexed="64"/>
      </top>
      <bottom style="medium">
        <color indexed="64"/>
      </bottom>
      <diagonal/>
    </border>
    <border>
      <left style="thin">
        <color auto="1"/>
      </left>
      <right style="thin">
        <color auto="1"/>
      </right>
      <top style="thin">
        <color indexed="64"/>
      </top>
      <bottom style="double">
        <color indexed="64"/>
      </bottom>
      <diagonal/>
    </border>
    <border>
      <left style="medium">
        <color indexed="64"/>
      </left>
      <right style="thin">
        <color auto="1"/>
      </right>
      <top style="thin">
        <color indexed="64"/>
      </top>
      <bottom style="double">
        <color indexed="64"/>
      </bottom>
      <diagonal/>
    </border>
    <border>
      <left style="thin">
        <color auto="1"/>
      </left>
      <right style="medium">
        <color indexed="64"/>
      </right>
      <top style="thin">
        <color indexed="64"/>
      </top>
      <bottom style="double">
        <color indexed="64"/>
      </bottom>
      <diagonal/>
    </border>
    <border>
      <left style="thin">
        <color auto="1"/>
      </left>
      <right/>
      <top/>
      <bottom style="medium">
        <color auto="1"/>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auto="1"/>
      </right>
      <top style="thin">
        <color auto="1"/>
      </top>
      <bottom style="thin">
        <color auto="1"/>
      </bottom>
      <diagonal/>
    </border>
    <border>
      <left style="medium">
        <color indexed="64"/>
      </left>
      <right style="medium">
        <color auto="1"/>
      </right>
      <top style="thin">
        <color auto="1"/>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style="medium">
        <color rgb="FF000000"/>
      </right>
      <top style="thin">
        <color indexed="64"/>
      </top>
      <bottom style="thin">
        <color indexed="64"/>
      </bottom>
      <diagonal/>
    </border>
    <border>
      <left/>
      <right style="thin">
        <color rgb="FF000000"/>
      </right>
      <top style="thin">
        <color auto="1"/>
      </top>
      <bottom style="medium">
        <color indexed="64"/>
      </bottom>
      <diagonal/>
    </border>
    <border>
      <left style="thin">
        <color rgb="FF000000"/>
      </left>
      <right/>
      <top style="thin">
        <color auto="1"/>
      </top>
      <bottom style="medium">
        <color indexed="64"/>
      </bottom>
      <diagonal/>
    </border>
    <border>
      <left style="thin">
        <color auto="1"/>
      </left>
      <right/>
      <top style="hair">
        <color auto="1"/>
      </top>
      <bottom style="hair">
        <color auto="1"/>
      </bottom>
      <diagonal/>
    </border>
    <border>
      <left style="thin">
        <color auto="1"/>
      </left>
      <right style="thin">
        <color auto="1"/>
      </right>
      <top/>
      <bottom style="medium">
        <color auto="1"/>
      </bottom>
      <diagonal/>
    </border>
  </borders>
  <cellStyleXfs count="539">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4"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2" fillId="0" borderId="0"/>
    <xf numFmtId="0" fontId="24" fillId="0" borderId="0"/>
    <xf numFmtId="0" fontId="28" fillId="0" borderId="0"/>
    <xf numFmtId="0" fontId="24" fillId="0" borderId="0" applyNumberFormat="0" applyFill="0" applyBorder="0" applyAlignment="0" applyProtection="0"/>
    <xf numFmtId="0" fontId="36" fillId="0" borderId="0" applyNumberFormat="0" applyFill="0" applyBorder="0" applyAlignment="0" applyProtection="0"/>
    <xf numFmtId="0" fontId="28" fillId="0" borderId="0" applyNumberFormat="0" applyFill="0" applyBorder="0" applyAlignment="0" applyProtection="0"/>
    <xf numFmtId="0" fontId="38" fillId="0" borderId="57" applyNumberFormat="0" applyFill="0" applyBorder="0" applyProtection="0">
      <alignment horizontal="center"/>
    </xf>
    <xf numFmtId="41" fontId="24" fillId="0" borderId="0" applyFont="0" applyFill="0" applyBorder="0" applyAlignment="0" applyProtection="0"/>
    <xf numFmtId="43" fontId="24" fillId="0" borderId="0" applyFont="0" applyFill="0" applyBorder="0" applyAlignment="0" applyProtection="0"/>
    <xf numFmtId="3" fontId="39" fillId="11" borderId="38" applyFill="0" applyBorder="0" applyAlignment="0">
      <alignment horizontal="center"/>
    </xf>
    <xf numFmtId="168" fontId="24" fillId="0" borderId="0" applyFont="0" applyFill="0" applyBorder="0" applyAlignment="0" applyProtection="0"/>
    <xf numFmtId="169" fontId="24" fillId="0" borderId="0" applyFont="0" applyFill="0" applyBorder="0" applyAlignment="0" applyProtection="0"/>
    <xf numFmtId="0" fontId="40" fillId="0" borderId="0" applyNumberFormat="0" applyFill="0" applyBorder="0" applyAlignment="0" applyProtection="0">
      <alignment vertical="top"/>
      <protection locked="0"/>
    </xf>
    <xf numFmtId="3" fontId="41" fillId="0" borderId="0" applyFont="0" applyFill="0" applyBorder="0" applyAlignment="0" applyProtection="0"/>
    <xf numFmtId="170" fontId="41" fillId="0" borderId="0" applyFont="0" applyFill="0" applyBorder="0" applyAlignment="0" applyProtection="0"/>
    <xf numFmtId="4" fontId="41" fillId="0" borderId="0" applyFont="0" applyFill="0" applyBorder="0" applyAlignment="0" applyProtection="0"/>
    <xf numFmtId="171" fontId="41" fillId="0" borderId="0" applyFont="0" applyFill="0" applyBorder="0" applyAlignment="0" applyProtection="0"/>
    <xf numFmtId="172" fontId="41" fillId="0" borderId="0" applyFont="0" applyFill="0" applyBorder="0" applyAlignment="0" applyProtection="0"/>
    <xf numFmtId="9" fontId="41" fillId="0" borderId="0" applyFont="0" applyFill="0" applyBorder="0" applyAlignment="0" applyProtection="0"/>
    <xf numFmtId="173" fontId="41" fillId="0" borderId="0" applyFont="0" applyFill="0" applyBorder="0" applyAlignment="0" applyProtection="0"/>
    <xf numFmtId="10" fontId="41" fillId="0" borderId="0" applyFont="0" applyFill="0" applyBorder="0" applyAlignment="0" applyProtection="0"/>
    <xf numFmtId="174" fontId="41" fillId="0" borderId="0" applyFont="0" applyFill="0" applyBorder="0" applyProtection="0">
      <alignment horizontal="center"/>
    </xf>
    <xf numFmtId="0" fontId="22" fillId="12" borderId="0" applyNumberFormat="0" applyFont="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7"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8" fillId="0" borderId="0" applyNumberFormat="0" applyFill="0" applyBorder="0" applyAlignment="0" applyProtection="0"/>
  </cellStyleXfs>
  <cellXfs count="1328">
    <xf numFmtId="0" fontId="0" fillId="0" borderId="0" xfId="0"/>
    <xf numFmtId="2" fontId="0" fillId="0" borderId="0" xfId="0" applyNumberFormat="1"/>
    <xf numFmtId="0" fontId="0" fillId="4" borderId="1" xfId="0" applyFill="1" applyBorder="1"/>
    <xf numFmtId="0" fontId="0" fillId="0" borderId="0" xfId="0" applyAlignment="1">
      <alignment horizontal="left" wrapText="1"/>
    </xf>
    <xf numFmtId="0" fontId="0" fillId="2" borderId="0" xfId="0" applyFill="1"/>
    <xf numFmtId="0" fontId="8" fillId="0" borderId="0" xfId="0" applyFont="1"/>
    <xf numFmtId="0" fontId="9" fillId="0" borderId="0" xfId="0" applyFont="1"/>
    <xf numFmtId="0" fontId="7" fillId="5" borderId="23" xfId="0" applyFont="1" applyFill="1" applyBorder="1"/>
    <xf numFmtId="0" fontId="7" fillId="5" borderId="24" xfId="0" applyFont="1" applyFill="1" applyBorder="1"/>
    <xf numFmtId="0" fontId="7" fillId="5" borderId="25" xfId="0" applyFont="1" applyFill="1" applyBorder="1"/>
    <xf numFmtId="0" fontId="7" fillId="4" borderId="20" xfId="0" applyFont="1" applyFill="1" applyBorder="1"/>
    <xf numFmtId="0" fontId="0" fillId="4" borderId="21" xfId="0" applyFill="1" applyBorder="1"/>
    <xf numFmtId="0" fontId="0" fillId="4" borderId="22" xfId="0" applyFill="1" applyBorder="1"/>
    <xf numFmtId="0" fontId="12" fillId="2" borderId="0" xfId="0" applyFont="1" applyFill="1" applyAlignment="1">
      <alignment horizontal="center" vertical="center"/>
    </xf>
    <xf numFmtId="0" fontId="0" fillId="2" borderId="26" xfId="0" applyFill="1" applyBorder="1" applyProtection="1">
      <protection locked="0"/>
    </xf>
    <xf numFmtId="0" fontId="0" fillId="2" borderId="12" xfId="0"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8" xfId="0" applyFill="1" applyBorder="1" applyProtection="1">
      <protection locked="0"/>
    </xf>
    <xf numFmtId="0" fontId="0" fillId="2" borderId="14"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0" fillId="2" borderId="30" xfId="0" applyFill="1" applyBorder="1" applyProtection="1">
      <protection locked="0"/>
    </xf>
    <xf numFmtId="0" fontId="12" fillId="0" borderId="33" xfId="0" applyFont="1" applyBorder="1" applyAlignment="1">
      <alignment horizontal="center" vertical="center"/>
    </xf>
    <xf numFmtId="0" fontId="0" fillId="5" borderId="1" xfId="0" applyFill="1" applyBorder="1" applyAlignment="1">
      <alignment horizontal="center"/>
    </xf>
    <xf numFmtId="0" fontId="12" fillId="0" borderId="0" xfId="0" applyFont="1" applyAlignment="1">
      <alignment horizontal="center" vertical="center"/>
    </xf>
    <xf numFmtId="0" fontId="0" fillId="5" borderId="1" xfId="0" applyFill="1" applyBorder="1"/>
    <xf numFmtId="2" fontId="0" fillId="5" borderId="1" xfId="0" applyNumberFormat="1" applyFill="1" applyBorder="1" applyAlignment="1">
      <alignment horizontal="center" wrapText="1"/>
    </xf>
    <xf numFmtId="2" fontId="0" fillId="5" borderId="1" xfId="0" applyNumberFormat="1" applyFill="1" applyBorder="1" applyAlignment="1">
      <alignment horizontal="center"/>
    </xf>
    <xf numFmtId="0" fontId="0" fillId="6" borderId="1" xfId="0" applyFill="1" applyBorder="1" applyAlignment="1">
      <alignment horizontal="center"/>
    </xf>
    <xf numFmtId="0" fontId="0" fillId="6" borderId="1" xfId="0" applyFill="1" applyBorder="1"/>
    <xf numFmtId="2" fontId="0" fillId="6" borderId="1" xfId="0" applyNumberFormat="1" applyFill="1" applyBorder="1" applyAlignment="1">
      <alignment horizontal="center"/>
    </xf>
    <xf numFmtId="0" fontId="0" fillId="5" borderId="1" xfId="0" applyFill="1" applyBorder="1" applyAlignment="1">
      <alignment horizontal="center" vertical="center"/>
    </xf>
    <xf numFmtId="2" fontId="0" fillId="2" borderId="0" xfId="0" applyNumberFormat="1" applyFill="1" applyAlignment="1">
      <alignment horizontal="center"/>
    </xf>
    <xf numFmtId="49" fontId="0" fillId="5" borderId="1" xfId="0" applyNumberFormat="1" applyFill="1" applyBorder="1" applyAlignment="1">
      <alignment horizontal="center"/>
    </xf>
    <xf numFmtId="1" fontId="0" fillId="5" borderId="1" xfId="0" applyNumberFormat="1" applyFill="1" applyBorder="1" applyAlignment="1">
      <alignment wrapText="1"/>
    </xf>
    <xf numFmtId="2" fontId="0" fillId="5" borderId="1" xfId="0" applyNumberFormat="1" applyFill="1" applyBorder="1" applyAlignment="1">
      <alignment horizontal="right" wrapText="1"/>
    </xf>
    <xf numFmtId="166" fontId="0" fillId="5" borderId="1" xfId="0" applyNumberFormat="1" applyFill="1" applyBorder="1" applyAlignment="1">
      <alignment horizontal="center"/>
    </xf>
    <xf numFmtId="166" fontId="0" fillId="4" borderId="1" xfId="0" applyNumberFormat="1" applyFill="1" applyBorder="1" applyAlignment="1">
      <alignment horizontal="center"/>
    </xf>
    <xf numFmtId="2" fontId="0" fillId="5" borderId="14" xfId="0" applyNumberFormat="1" applyFill="1" applyBorder="1" applyAlignment="1">
      <alignment horizontal="center"/>
    </xf>
    <xf numFmtId="2" fontId="0" fillId="3" borderId="1" xfId="0" applyNumberFormat="1" applyFill="1" applyBorder="1" applyAlignment="1" applyProtection="1">
      <alignment horizontal="right" wrapText="1"/>
      <protection locked="0"/>
    </xf>
    <xf numFmtId="166" fontId="0" fillId="3" borderId="1" xfId="0" applyNumberFormat="1" applyFill="1" applyBorder="1" applyAlignment="1" applyProtection="1">
      <alignment horizontal="center" wrapText="1"/>
      <protection locked="0"/>
    </xf>
    <xf numFmtId="166" fontId="0" fillId="3" borderId="1" xfId="0" applyNumberFormat="1" applyFill="1" applyBorder="1" applyAlignment="1" applyProtection="1">
      <alignment horizontal="center"/>
      <protection locked="0"/>
    </xf>
    <xf numFmtId="0" fontId="17" fillId="0" borderId="0" xfId="0" applyFont="1"/>
    <xf numFmtId="49" fontId="0" fillId="5" borderId="1" xfId="0" applyNumberFormat="1" applyFill="1" applyBorder="1" applyAlignment="1">
      <alignment horizontal="center" wrapText="1"/>
    </xf>
    <xf numFmtId="2" fontId="0" fillId="5" borderId="4" xfId="0" applyNumberFormat="1" applyFill="1" applyBorder="1" applyAlignment="1">
      <alignment horizontal="right"/>
    </xf>
    <xf numFmtId="0" fontId="0" fillId="5" borderId="9" xfId="0" applyFill="1" applyBorder="1" applyAlignment="1">
      <alignment horizontal="center" vertical="center" wrapText="1"/>
    </xf>
    <xf numFmtId="166" fontId="0" fillId="5" borderId="14" xfId="0" applyNumberFormat="1" applyFill="1" applyBorder="1"/>
    <xf numFmtId="166" fontId="0" fillId="5" borderId="17" xfId="0" applyNumberFormat="1" applyFill="1" applyBorder="1"/>
    <xf numFmtId="0" fontId="16" fillId="0" borderId="0" xfId="0" applyFont="1"/>
    <xf numFmtId="0" fontId="0" fillId="0" borderId="48" xfId="0" applyBorder="1"/>
    <xf numFmtId="0" fontId="7" fillId="0" borderId="0" xfId="0" applyFont="1"/>
    <xf numFmtId="0" fontId="0" fillId="0" borderId="49" xfId="0" applyBorder="1" applyAlignment="1">
      <alignment horizontal="center"/>
    </xf>
    <xf numFmtId="0" fontId="0" fillId="0" borderId="49" xfId="0" applyBorder="1"/>
    <xf numFmtId="164" fontId="0" fillId="3" borderId="1" xfId="343" applyFont="1" applyFill="1" applyBorder="1" applyProtection="1">
      <protection locked="0"/>
    </xf>
    <xf numFmtId="0" fontId="0" fillId="0" borderId="50" xfId="0" applyBorder="1" applyAlignment="1">
      <alignment horizontal="center"/>
    </xf>
    <xf numFmtId="0" fontId="0" fillId="0" borderId="50" xfId="0" applyBorder="1"/>
    <xf numFmtId="0" fontId="0" fillId="0" borderId="51" xfId="0" applyBorder="1"/>
    <xf numFmtId="0" fontId="7" fillId="0" borderId="5" xfId="0" applyFont="1" applyBorder="1"/>
    <xf numFmtId="164" fontId="7" fillId="0" borderId="1" xfId="343" applyFont="1" applyBorder="1"/>
    <xf numFmtId="164" fontId="0" fillId="0" borderId="1" xfId="343" applyFont="1" applyBorder="1"/>
    <xf numFmtId="164" fontId="0" fillId="0" borderId="0" xfId="343" applyFont="1"/>
    <xf numFmtId="0" fontId="0" fillId="5" borderId="14" xfId="0" applyFill="1" applyBorder="1" applyAlignment="1">
      <alignment horizontal="center" wrapText="1"/>
    </xf>
    <xf numFmtId="0" fontId="29" fillId="0" borderId="0" xfId="374" applyFont="1"/>
    <xf numFmtId="0" fontId="31" fillId="0" borderId="0" xfId="374" applyFont="1"/>
    <xf numFmtId="0" fontId="28" fillId="0" borderId="0" xfId="374"/>
    <xf numFmtId="0" fontId="22" fillId="10" borderId="55" xfId="372" applyFill="1" applyBorder="1" applyAlignment="1">
      <alignment horizontal="center"/>
    </xf>
    <xf numFmtId="0" fontId="22" fillId="0" borderId="2" xfId="372" applyBorder="1" applyAlignment="1">
      <alignment horizontal="center"/>
    </xf>
    <xf numFmtId="0" fontId="22" fillId="0" borderId="10" xfId="372" applyBorder="1" applyAlignment="1">
      <alignment horizontal="center"/>
    </xf>
    <xf numFmtId="0" fontId="22" fillId="0" borderId="10" xfId="372" applyBorder="1" applyProtection="1">
      <protection locked="0"/>
    </xf>
    <xf numFmtId="1" fontId="32" fillId="0" borderId="7" xfId="372" applyNumberFormat="1" applyFont="1" applyBorder="1" applyAlignment="1" applyProtection="1">
      <alignment horizontal="right" vertical="top" wrapText="1"/>
      <protection locked="0"/>
    </xf>
    <xf numFmtId="1" fontId="32" fillId="0" borderId="7" xfId="372" applyNumberFormat="1" applyFont="1" applyBorder="1" applyAlignment="1" applyProtection="1">
      <alignment vertical="top"/>
      <protection locked="0"/>
    </xf>
    <xf numFmtId="0" fontId="33" fillId="0" borderId="10" xfId="374" applyFont="1" applyBorder="1"/>
    <xf numFmtId="0" fontId="33" fillId="0" borderId="0" xfId="374" applyFont="1"/>
    <xf numFmtId="0" fontId="34" fillId="0" borderId="10" xfId="372" applyFont="1" applyBorder="1" applyAlignment="1">
      <alignment horizontal="center"/>
    </xf>
    <xf numFmtId="1" fontId="35" fillId="0" borderId="10" xfId="372" applyNumberFormat="1" applyFont="1" applyBorder="1" applyAlignment="1" applyProtection="1">
      <alignment vertical="top"/>
      <protection locked="0"/>
    </xf>
    <xf numFmtId="0" fontId="24" fillId="0" borderId="0" xfId="374" applyFont="1"/>
    <xf numFmtId="0" fontId="25" fillId="0" borderId="0" xfId="374" applyFont="1"/>
    <xf numFmtId="0" fontId="36" fillId="0" borderId="0" xfId="374" applyFont="1"/>
    <xf numFmtId="0" fontId="25" fillId="0" borderId="0" xfId="374" applyFont="1" applyAlignment="1">
      <alignment horizontal="left"/>
    </xf>
    <xf numFmtId="0" fontId="22" fillId="0" borderId="3" xfId="372" applyBorder="1" applyAlignment="1">
      <alignment horizontal="center"/>
    </xf>
    <xf numFmtId="0" fontId="22" fillId="0" borderId="0" xfId="372" applyAlignment="1">
      <alignment horizontal="center"/>
    </xf>
    <xf numFmtId="0" fontId="22" fillId="0" borderId="0" xfId="372" applyProtection="1">
      <protection locked="0"/>
    </xf>
    <xf numFmtId="1" fontId="32" fillId="0" borderId="46" xfId="372" applyNumberFormat="1" applyFont="1" applyBorder="1" applyAlignment="1" applyProtection="1">
      <alignment vertical="top"/>
      <protection locked="0"/>
    </xf>
    <xf numFmtId="175" fontId="0" fillId="2" borderId="1" xfId="0" applyNumberFormat="1" applyFill="1" applyBorder="1" applyAlignment="1">
      <alignment horizontal="center" wrapText="1"/>
    </xf>
    <xf numFmtId="175" fontId="0" fillId="2" borderId="4" xfId="0" applyNumberFormat="1" applyFill="1" applyBorder="1" applyAlignment="1">
      <alignment horizontal="center" wrapText="1"/>
    </xf>
    <xf numFmtId="175" fontId="0" fillId="2" borderId="1" xfId="0" applyNumberFormat="1" applyFill="1" applyBorder="1" applyAlignment="1">
      <alignment horizontal="center"/>
    </xf>
    <xf numFmtId="175" fontId="0" fillId="2" borderId="4" xfId="0" applyNumberFormat="1" applyFill="1" applyBorder="1" applyAlignment="1">
      <alignment horizontal="center"/>
    </xf>
    <xf numFmtId="2" fontId="42" fillId="2" borderId="21" xfId="0" applyNumberFormat="1" applyFont="1" applyFill="1" applyBorder="1" applyAlignment="1" applyProtection="1">
      <alignment horizontal="right" wrapText="1"/>
      <protection locked="0"/>
    </xf>
    <xf numFmtId="166" fontId="42" fillId="13" borderId="65" xfId="0" applyNumberFormat="1" applyFont="1" applyFill="1" applyBorder="1"/>
    <xf numFmtId="166" fontId="42" fillId="13" borderId="60" xfId="0" applyNumberFormat="1" applyFont="1" applyFill="1" applyBorder="1" applyProtection="1">
      <protection locked="0"/>
    </xf>
    <xf numFmtId="2" fontId="42" fillId="2" borderId="22" xfId="0" applyNumberFormat="1" applyFont="1" applyFill="1" applyBorder="1" applyAlignment="1" applyProtection="1">
      <alignment horizontal="right" wrapText="1"/>
      <protection locked="0"/>
    </xf>
    <xf numFmtId="0" fontId="24" fillId="0" borderId="0" xfId="505" applyFont="1"/>
    <xf numFmtId="0" fontId="22" fillId="0" borderId="0" xfId="372"/>
    <xf numFmtId="0" fontId="46" fillId="0" borderId="0" xfId="505" applyFont="1"/>
    <xf numFmtId="176" fontId="22" fillId="0" borderId="0" xfId="372" applyNumberFormat="1"/>
    <xf numFmtId="0" fontId="45" fillId="0" borderId="0" xfId="372" applyFont="1"/>
    <xf numFmtId="0" fontId="37" fillId="0" borderId="0" xfId="374" applyFont="1"/>
    <xf numFmtId="0" fontId="37" fillId="0" borderId="5" xfId="374" applyFont="1" applyBorder="1"/>
    <xf numFmtId="0" fontId="37" fillId="0" borderId="5" xfId="374" applyFont="1" applyBorder="1" applyAlignment="1">
      <alignment horizontal="right"/>
    </xf>
    <xf numFmtId="0" fontId="37" fillId="0" borderId="4" xfId="374" applyFont="1" applyBorder="1"/>
    <xf numFmtId="0" fontId="37" fillId="0" borderId="5" xfId="372" applyFont="1" applyBorder="1"/>
    <xf numFmtId="167" fontId="54" fillId="0" borderId="19" xfId="372" applyNumberFormat="1" applyFont="1" applyBorder="1" applyAlignment="1">
      <alignment horizontal="centerContinuous" vertical="top"/>
    </xf>
    <xf numFmtId="167" fontId="55" fillId="0" borderId="27" xfId="372" applyNumberFormat="1" applyFont="1" applyBorder="1" applyAlignment="1">
      <alignment horizontal="centerContinuous"/>
    </xf>
    <xf numFmtId="0" fontId="54" fillId="0" borderId="27" xfId="372" applyFont="1" applyBorder="1" applyAlignment="1">
      <alignment horizontal="centerContinuous"/>
    </xf>
    <xf numFmtId="0" fontId="55" fillId="0" borderId="34" xfId="372" applyFont="1" applyBorder="1" applyAlignment="1">
      <alignment horizontal="centerContinuous"/>
    </xf>
    <xf numFmtId="1" fontId="55" fillId="0" borderId="34" xfId="372" applyNumberFormat="1" applyFont="1" applyBorder="1" applyAlignment="1">
      <alignment horizontal="centerContinuous"/>
    </xf>
    <xf numFmtId="0" fontId="56" fillId="0" borderId="25" xfId="372" applyFont="1" applyBorder="1" applyAlignment="1">
      <alignment horizontal="centerContinuous" vertical="top"/>
    </xf>
    <xf numFmtId="0" fontId="23" fillId="0" borderId="24" xfId="372" applyFont="1" applyBorder="1" applyAlignment="1">
      <alignment horizontal="centerContinuous"/>
    </xf>
    <xf numFmtId="0" fontId="56" fillId="0" borderId="24" xfId="372" applyFont="1" applyBorder="1" applyAlignment="1">
      <alignment horizontal="centerContinuous"/>
    </xf>
    <xf numFmtId="0" fontId="56" fillId="0" borderId="24" xfId="372" applyFont="1" applyBorder="1" applyAlignment="1">
      <alignment horizontal="centerContinuous" vertical="top"/>
    </xf>
    <xf numFmtId="0" fontId="23" fillId="0" borderId="23" xfId="372" applyFont="1" applyBorder="1" applyAlignment="1">
      <alignment horizontal="centerContinuous"/>
    </xf>
    <xf numFmtId="1" fontId="35" fillId="0" borderId="0" xfId="372" applyNumberFormat="1" applyFont="1" applyAlignment="1" applyProtection="1">
      <alignment vertical="top"/>
      <protection locked="0"/>
    </xf>
    <xf numFmtId="0" fontId="34" fillId="0" borderId="0" xfId="372" applyFont="1" applyAlignment="1">
      <alignment horizontal="center"/>
    </xf>
    <xf numFmtId="0" fontId="22" fillId="0" borderId="71" xfId="372" applyBorder="1" applyProtection="1">
      <protection locked="0"/>
    </xf>
    <xf numFmtId="0" fontId="18" fillId="0" borderId="0" xfId="0" applyFont="1"/>
    <xf numFmtId="0" fontId="59" fillId="0" borderId="0" xfId="374" applyFont="1" applyAlignment="1">
      <alignment horizontal="center"/>
    </xf>
    <xf numFmtId="0" fontId="57" fillId="0" borderId="0" xfId="374" applyFont="1"/>
    <xf numFmtId="0" fontId="58" fillId="0" borderId="0" xfId="374" applyFont="1"/>
    <xf numFmtId="0" fontId="59" fillId="0" borderId="33" xfId="374" applyFont="1" applyBorder="1"/>
    <xf numFmtId="0" fontId="59" fillId="0" borderId="0" xfId="374" applyFont="1"/>
    <xf numFmtId="0" fontId="61" fillId="0" borderId="0" xfId="372" applyFont="1"/>
    <xf numFmtId="0" fontId="62" fillId="0" borderId="0" xfId="505" applyFont="1"/>
    <xf numFmtId="0" fontId="63" fillId="15" borderId="0" xfId="505" applyFont="1" applyFill="1"/>
    <xf numFmtId="0" fontId="64" fillId="0" borderId="0" xfId="505" applyFont="1" applyAlignment="1">
      <alignment horizontal="left"/>
    </xf>
    <xf numFmtId="0" fontId="64" fillId="0" borderId="0" xfId="505" applyFont="1"/>
    <xf numFmtId="0" fontId="65" fillId="0" borderId="0" xfId="372" applyFont="1"/>
    <xf numFmtId="0" fontId="22" fillId="0" borderId="74" xfId="372" applyBorder="1" applyProtection="1">
      <protection locked="0"/>
    </xf>
    <xf numFmtId="0" fontId="22" fillId="0" borderId="50" xfId="372" applyBorder="1" applyProtection="1">
      <protection locked="0"/>
    </xf>
    <xf numFmtId="1" fontId="50" fillId="10" borderId="55" xfId="372" applyNumberFormat="1" applyFont="1" applyFill="1" applyBorder="1" applyAlignment="1">
      <alignment horizontal="center"/>
    </xf>
    <xf numFmtId="1" fontId="50" fillId="10" borderId="7" xfId="372" applyNumberFormat="1" applyFont="1" applyFill="1" applyBorder="1" applyAlignment="1">
      <alignment horizontal="center"/>
    </xf>
    <xf numFmtId="0" fontId="22" fillId="0" borderId="5" xfId="372" applyBorder="1" applyAlignment="1">
      <alignment horizontal="center"/>
    </xf>
    <xf numFmtId="0" fontId="51" fillId="10" borderId="5" xfId="372" applyFont="1" applyFill="1" applyBorder="1" applyProtection="1">
      <protection locked="0"/>
    </xf>
    <xf numFmtId="1" fontId="49" fillId="10" borderId="6" xfId="372" applyNumberFormat="1" applyFont="1" applyFill="1" applyBorder="1" applyAlignment="1">
      <alignment horizontal="right" vertical="top" wrapText="1"/>
    </xf>
    <xf numFmtId="0" fontId="47" fillId="0" borderId="75" xfId="374" applyFont="1" applyBorder="1"/>
    <xf numFmtId="0" fontId="37" fillId="0" borderId="6" xfId="374" applyFont="1" applyBorder="1" applyAlignment="1">
      <alignment horizontal="right"/>
    </xf>
    <xf numFmtId="0" fontId="37" fillId="4" borderId="4" xfId="374" applyFont="1" applyFill="1" applyBorder="1"/>
    <xf numFmtId="0" fontId="37" fillId="4" borderId="5" xfId="374" applyFont="1" applyFill="1" applyBorder="1"/>
    <xf numFmtId="0" fontId="53" fillId="4" borderId="5" xfId="374" applyFont="1" applyFill="1" applyBorder="1" applyAlignment="1">
      <alignment horizontal="right"/>
    </xf>
    <xf numFmtId="0" fontId="37" fillId="4" borderId="6" xfId="374" applyFont="1" applyFill="1" applyBorder="1" applyAlignment="1">
      <alignment horizontal="right"/>
    </xf>
    <xf numFmtId="0" fontId="37" fillId="14" borderId="4" xfId="374" applyFont="1" applyFill="1" applyBorder="1"/>
    <xf numFmtId="0" fontId="37" fillId="14" borderId="5" xfId="374" applyFont="1" applyFill="1" applyBorder="1"/>
    <xf numFmtId="0" fontId="37" fillId="14" borderId="5" xfId="374" applyFont="1" applyFill="1" applyBorder="1" applyAlignment="1">
      <alignment horizontal="right"/>
    </xf>
    <xf numFmtId="0" fontId="37" fillId="14" borderId="6" xfId="374" applyFont="1" applyFill="1" applyBorder="1" applyAlignment="1">
      <alignment horizontal="right"/>
    </xf>
    <xf numFmtId="0" fontId="37" fillId="15" borderId="4" xfId="374" applyFont="1" applyFill="1" applyBorder="1"/>
    <xf numFmtId="0" fontId="37" fillId="15" borderId="5" xfId="374" applyFont="1" applyFill="1" applyBorder="1"/>
    <xf numFmtId="0" fontId="37" fillId="15" borderId="5" xfId="374" applyFont="1" applyFill="1" applyBorder="1" applyAlignment="1">
      <alignment horizontal="right"/>
    </xf>
    <xf numFmtId="0" fontId="37" fillId="15" borderId="6" xfId="374" applyFont="1" applyFill="1" applyBorder="1" applyAlignment="1">
      <alignment horizontal="right"/>
    </xf>
    <xf numFmtId="0" fontId="37" fillId="3" borderId="4" xfId="374" applyFont="1" applyFill="1" applyBorder="1"/>
    <xf numFmtId="0" fontId="37" fillId="3" borderId="5" xfId="374" applyFont="1" applyFill="1" applyBorder="1"/>
    <xf numFmtId="0" fontId="37" fillId="16" borderId="4" xfId="374" applyFont="1" applyFill="1" applyBorder="1"/>
    <xf numFmtId="0" fontId="37" fillId="16" borderId="5" xfId="374" applyFont="1" applyFill="1" applyBorder="1"/>
    <xf numFmtId="0" fontId="53" fillId="16" borderId="5" xfId="374" applyFont="1" applyFill="1" applyBorder="1" applyAlignment="1">
      <alignment horizontal="right"/>
    </xf>
    <xf numFmtId="0" fontId="37" fillId="3" borderId="5" xfId="374" applyFont="1" applyFill="1" applyBorder="1" applyAlignment="1">
      <alignment horizontal="right"/>
    </xf>
    <xf numFmtId="0" fontId="37" fillId="3" borderId="6" xfId="374" applyFont="1" applyFill="1" applyBorder="1"/>
    <xf numFmtId="0" fontId="37" fillId="21" borderId="4" xfId="374" applyFont="1" applyFill="1" applyBorder="1"/>
    <xf numFmtId="0" fontId="37" fillId="21" borderId="5" xfId="374" applyFont="1" applyFill="1" applyBorder="1"/>
    <xf numFmtId="0" fontId="37" fillId="21" borderId="5" xfId="374" applyFont="1" applyFill="1" applyBorder="1" applyAlignment="1">
      <alignment horizontal="right"/>
    </xf>
    <xf numFmtId="0" fontId="37" fillId="21" borderId="6" xfId="374" applyFont="1" applyFill="1" applyBorder="1" applyAlignment="1">
      <alignment horizontal="right"/>
    </xf>
    <xf numFmtId="0" fontId="68" fillId="22" borderId="4" xfId="374" applyFont="1" applyFill="1" applyBorder="1"/>
    <xf numFmtId="0" fontId="68" fillId="22" borderId="5" xfId="374" applyFont="1" applyFill="1" applyBorder="1"/>
    <xf numFmtId="0" fontId="68" fillId="22" borderId="5" xfId="372" applyFont="1" applyFill="1" applyBorder="1"/>
    <xf numFmtId="0" fontId="68" fillId="22" borderId="5" xfId="374" applyFont="1" applyFill="1" applyBorder="1" applyAlignment="1">
      <alignment horizontal="right"/>
    </xf>
    <xf numFmtId="0" fontId="68" fillId="22" borderId="6" xfId="374" applyFont="1" applyFill="1" applyBorder="1" applyAlignment="1">
      <alignment horizontal="right"/>
    </xf>
    <xf numFmtId="0" fontId="37" fillId="0" borderId="23" xfId="374" applyFont="1" applyBorder="1"/>
    <xf numFmtId="0" fontId="37" fillId="0" borderId="24" xfId="374" applyFont="1" applyBorder="1"/>
    <xf numFmtId="0" fontId="37" fillId="0" borderId="24" xfId="374" applyFont="1" applyBorder="1" applyAlignment="1">
      <alignment horizontal="right"/>
    </xf>
    <xf numFmtId="0" fontId="37" fillId="0" borderId="25" xfId="374" applyFont="1" applyBorder="1" applyAlignment="1">
      <alignment horizontal="right"/>
    </xf>
    <xf numFmtId="0" fontId="48" fillId="5" borderId="29" xfId="374" applyFont="1" applyFill="1" applyBorder="1"/>
    <xf numFmtId="0" fontId="48" fillId="5" borderId="43" xfId="374" applyFont="1" applyFill="1" applyBorder="1"/>
    <xf numFmtId="0" fontId="47" fillId="14" borderId="5" xfId="374" applyFont="1" applyFill="1" applyBorder="1"/>
    <xf numFmtId="0" fontId="47" fillId="16" borderId="40" xfId="374" applyFont="1" applyFill="1" applyBorder="1"/>
    <xf numFmtId="0" fontId="47" fillId="3" borderId="75" xfId="374" applyFont="1" applyFill="1" applyBorder="1"/>
    <xf numFmtId="0" fontId="48" fillId="5" borderId="44" xfId="374" applyFont="1" applyFill="1" applyBorder="1"/>
    <xf numFmtId="0" fontId="47" fillId="21" borderId="39" xfId="374" applyFont="1" applyFill="1" applyBorder="1"/>
    <xf numFmtId="0" fontId="33" fillId="23" borderId="0" xfId="374" applyFont="1" applyFill="1"/>
    <xf numFmtId="0" fontId="60" fillId="23" borderId="0" xfId="374" applyFont="1" applyFill="1"/>
    <xf numFmtId="0" fontId="60" fillId="23" borderId="45" xfId="374" applyFont="1" applyFill="1" applyBorder="1"/>
    <xf numFmtId="0" fontId="47" fillId="4" borderId="13" xfId="374" applyFont="1" applyFill="1" applyBorder="1"/>
    <xf numFmtId="0" fontId="37" fillId="16" borderId="6" xfId="374" applyFont="1" applyFill="1" applyBorder="1" applyAlignment="1">
      <alignment horizontal="right"/>
    </xf>
    <xf numFmtId="0" fontId="65" fillId="22" borderId="0" xfId="372" applyFont="1" applyFill="1"/>
    <xf numFmtId="0" fontId="68" fillId="24" borderId="5" xfId="0" applyFont="1" applyFill="1" applyBorder="1"/>
    <xf numFmtId="0" fontId="68" fillId="24" borderId="5" xfId="0" applyFont="1" applyFill="1" applyBorder="1" applyAlignment="1">
      <alignment horizontal="right"/>
    </xf>
    <xf numFmtId="0" fontId="68" fillId="24" borderId="4" xfId="0" applyFont="1" applyFill="1" applyBorder="1"/>
    <xf numFmtId="0" fontId="70" fillId="26" borderId="5" xfId="0" applyFont="1" applyFill="1" applyBorder="1"/>
    <xf numFmtId="0" fontId="24" fillId="2" borderId="0" xfId="505" applyFont="1" applyFill="1"/>
    <xf numFmtId="0" fontId="69" fillId="25" borderId="13" xfId="0" applyFont="1" applyFill="1" applyBorder="1"/>
    <xf numFmtId="0" fontId="0" fillId="0" borderId="0" xfId="343" applyNumberFormat="1" applyFont="1"/>
    <xf numFmtId="0" fontId="37" fillId="0" borderId="0" xfId="505" applyAlignment="1">
      <alignment horizontal="justify" vertical="justify"/>
    </xf>
    <xf numFmtId="0" fontId="37" fillId="0" borderId="0" xfId="505" applyAlignment="1">
      <alignment horizontal="justify" vertical="justify" wrapText="1"/>
    </xf>
    <xf numFmtId="0" fontId="44" fillId="0" borderId="0" xfId="505" applyFont="1" applyAlignment="1">
      <alignment horizontal="justify" vertical="justify"/>
    </xf>
    <xf numFmtId="0" fontId="37" fillId="16" borderId="0" xfId="505" applyFill="1" applyAlignment="1">
      <alignment horizontal="justify" vertical="justify" wrapText="1"/>
    </xf>
    <xf numFmtId="0" fontId="37" fillId="17" borderId="0" xfId="505" applyFill="1" applyAlignment="1">
      <alignment horizontal="justify" vertical="justify" wrapText="1"/>
    </xf>
    <xf numFmtId="0" fontId="37" fillId="20" borderId="0" xfId="505" applyFill="1" applyAlignment="1">
      <alignment horizontal="justify" vertical="justify" wrapText="1"/>
    </xf>
    <xf numFmtId="0" fontId="37" fillId="3" borderId="0" xfId="505" applyFill="1" applyAlignment="1">
      <alignment horizontal="justify" vertical="justify" wrapText="1"/>
    </xf>
    <xf numFmtId="0" fontId="44" fillId="18" borderId="0" xfId="505" applyFont="1" applyFill="1" applyAlignment="1">
      <alignment horizontal="justify" vertical="justify" wrapText="1"/>
    </xf>
    <xf numFmtId="0" fontId="37" fillId="2" borderId="0" xfId="505" applyFill="1" applyAlignment="1">
      <alignment horizontal="justify" vertical="justify" wrapText="1"/>
    </xf>
    <xf numFmtId="0" fontId="72" fillId="22" borderId="0" xfId="505" applyFont="1" applyFill="1" applyAlignment="1">
      <alignment horizontal="justify" vertical="justify" wrapText="1"/>
    </xf>
    <xf numFmtId="0" fontId="68" fillId="22" borderId="0" xfId="505" applyFont="1" applyFill="1" applyAlignment="1">
      <alignment horizontal="justify" vertical="justify" wrapText="1"/>
    </xf>
    <xf numFmtId="0" fontId="37" fillId="2" borderId="0" xfId="505" applyFill="1" applyAlignment="1">
      <alignment horizontal="left" vertical="justify" wrapText="1"/>
    </xf>
    <xf numFmtId="0" fontId="22" fillId="2" borderId="2" xfId="372" applyFill="1" applyBorder="1" applyAlignment="1">
      <alignment horizontal="center"/>
    </xf>
    <xf numFmtId="0" fontId="22" fillId="2" borderId="10" xfId="372" applyFill="1" applyBorder="1" applyAlignment="1">
      <alignment horizontal="center"/>
    </xf>
    <xf numFmtId="0" fontId="22" fillId="2" borderId="10" xfId="372" applyFill="1" applyBorder="1" applyProtection="1">
      <protection locked="0"/>
    </xf>
    <xf numFmtId="0" fontId="74" fillId="15" borderId="0" xfId="0" applyFont="1" applyFill="1"/>
    <xf numFmtId="0" fontId="75" fillId="15" borderId="0" xfId="0" applyFont="1" applyFill="1"/>
    <xf numFmtId="0" fontId="75" fillId="15" borderId="0" xfId="0" applyFont="1" applyFill="1" applyAlignment="1">
      <alignment wrapText="1"/>
    </xf>
    <xf numFmtId="0" fontId="75" fillId="15" borderId="0" xfId="0" applyFont="1" applyFill="1" applyAlignment="1">
      <alignment horizontal="left" wrapText="1"/>
    </xf>
    <xf numFmtId="0" fontId="22" fillId="2" borderId="3" xfId="372" applyFill="1" applyBorder="1" applyAlignment="1">
      <alignment horizontal="center"/>
    </xf>
    <xf numFmtId="0" fontId="22" fillId="2" borderId="0" xfId="372" applyFill="1" applyAlignment="1">
      <alignment horizontal="center"/>
    </xf>
    <xf numFmtId="0" fontId="22" fillId="2" borderId="0" xfId="372" applyFill="1" applyProtection="1">
      <protection locked="0"/>
    </xf>
    <xf numFmtId="1" fontId="32" fillId="2" borderId="46" xfId="372" applyNumberFormat="1" applyFont="1" applyFill="1" applyBorder="1" applyAlignment="1" applyProtection="1">
      <alignment vertical="top"/>
      <protection locked="0"/>
    </xf>
    <xf numFmtId="1" fontId="32" fillId="2" borderId="7" xfId="372" applyNumberFormat="1" applyFont="1" applyFill="1" applyBorder="1" applyAlignment="1" applyProtection="1">
      <alignment vertical="top"/>
      <protection locked="0"/>
    </xf>
    <xf numFmtId="0" fontId="18" fillId="0" borderId="0" xfId="0" applyFont="1" applyAlignment="1">
      <alignment horizontal="center"/>
    </xf>
    <xf numFmtId="177" fontId="0" fillId="0" borderId="0" xfId="0" applyNumberFormat="1"/>
    <xf numFmtId="2" fontId="22" fillId="0" borderId="0" xfId="372" applyNumberFormat="1"/>
    <xf numFmtId="0" fontId="37" fillId="0" borderId="0" xfId="372" applyFont="1" applyAlignment="1">
      <alignment horizontal="center" wrapText="1"/>
    </xf>
    <xf numFmtId="2" fontId="22" fillId="0" borderId="10" xfId="372" applyNumberFormat="1" applyBorder="1" applyAlignment="1" applyProtection="1">
      <alignment horizontal="left"/>
      <protection locked="0"/>
    </xf>
    <xf numFmtId="2" fontId="22" fillId="2" borderId="0" xfId="372" applyNumberFormat="1" applyFill="1" applyAlignment="1" applyProtection="1">
      <alignment horizontal="left"/>
      <protection locked="0"/>
    </xf>
    <xf numFmtId="0" fontId="0" fillId="2" borderId="0" xfId="0" applyFill="1" applyAlignment="1">
      <alignment horizontal="left"/>
    </xf>
    <xf numFmtId="0" fontId="0" fillId="2" borderId="0" xfId="0" applyFill="1" applyAlignment="1">
      <alignment horizontal="center" vertical="center"/>
    </xf>
    <xf numFmtId="166" fontId="0" fillId="2" borderId="0" xfId="0" applyNumberFormat="1" applyFill="1" applyAlignment="1" applyProtection="1">
      <alignment horizontal="center"/>
      <protection locked="0"/>
    </xf>
    <xf numFmtId="166" fontId="0" fillId="2" borderId="0" xfId="0" applyNumberFormat="1" applyFill="1" applyAlignment="1">
      <alignment horizontal="center"/>
    </xf>
    <xf numFmtId="0" fontId="0" fillId="5" borderId="10" xfId="0" applyFill="1" applyBorder="1" applyAlignment="1">
      <alignment horizontal="left"/>
    </xf>
    <xf numFmtId="0" fontId="0" fillId="5" borderId="10" xfId="0" applyFill="1" applyBorder="1" applyAlignment="1">
      <alignment horizontal="center" vertical="center"/>
    </xf>
    <xf numFmtId="166" fontId="0" fillId="3" borderId="10" xfId="0" applyNumberFormat="1" applyFill="1" applyBorder="1" applyAlignment="1" applyProtection="1">
      <alignment horizontal="center"/>
      <protection locked="0"/>
    </xf>
    <xf numFmtId="166" fontId="0" fillId="5" borderId="10" xfId="0" applyNumberFormat="1" applyFill="1" applyBorder="1" applyAlignment="1">
      <alignment horizontal="center"/>
    </xf>
    <xf numFmtId="4" fontId="0" fillId="4" borderId="52" xfId="0" applyNumberFormat="1" applyFill="1" applyBorder="1" applyAlignment="1">
      <alignment horizontal="right"/>
    </xf>
    <xf numFmtId="2" fontId="0" fillId="5" borderId="14" xfId="0" applyNumberFormat="1" applyFill="1" applyBorder="1" applyAlignment="1">
      <alignment horizontal="right"/>
    </xf>
    <xf numFmtId="49" fontId="0" fillId="2" borderId="0" xfId="0" applyNumberFormat="1" applyFill="1" applyAlignment="1">
      <alignment horizontal="left" wrapText="1"/>
    </xf>
    <xf numFmtId="0" fontId="0" fillId="5" borderId="1" xfId="0" applyFill="1" applyBorder="1" applyAlignment="1">
      <alignment horizontal="center" wrapText="1"/>
    </xf>
    <xf numFmtId="0" fontId="1" fillId="5" borderId="4" xfId="0" applyFont="1" applyFill="1" applyBorder="1" applyAlignment="1">
      <alignment horizontal="center" wrapText="1"/>
    </xf>
    <xf numFmtId="0" fontId="18" fillId="0" borderId="0" xfId="0" applyFont="1" applyAlignment="1">
      <alignment wrapText="1"/>
    </xf>
    <xf numFmtId="2" fontId="18" fillId="0" borderId="0" xfId="0" applyNumberFormat="1" applyFont="1"/>
    <xf numFmtId="0" fontId="79" fillId="0" borderId="0" xfId="372" applyFont="1"/>
    <xf numFmtId="0" fontId="18" fillId="2" borderId="0" xfId="0" applyFont="1" applyFill="1"/>
    <xf numFmtId="0" fontId="22" fillId="0" borderId="0" xfId="372" applyAlignment="1">
      <alignment horizontal="left"/>
    </xf>
    <xf numFmtId="2" fontId="0" fillId="5" borderId="64" xfId="0" applyNumberFormat="1" applyFill="1" applyBorder="1" applyAlignment="1">
      <alignment horizontal="right"/>
    </xf>
    <xf numFmtId="0" fontId="0" fillId="0" borderId="0" xfId="0" applyAlignment="1">
      <alignment horizontal="center" wrapText="1"/>
    </xf>
    <xf numFmtId="2" fontId="7" fillId="0" borderId="0" xfId="0" applyNumberFormat="1" applyFont="1"/>
    <xf numFmtId="0" fontId="0" fillId="5" borderId="4" xfId="0" applyFill="1" applyBorder="1" applyAlignment="1">
      <alignment horizontal="center" wrapText="1"/>
    </xf>
    <xf numFmtId="2" fontId="0" fillId="5" borderId="4" xfId="0" applyNumberFormat="1" applyFill="1" applyBorder="1" applyAlignment="1">
      <alignment horizontal="right" wrapText="1"/>
    </xf>
    <xf numFmtId="2" fontId="42" fillId="2" borderId="82" xfId="0" applyNumberFormat="1" applyFont="1" applyFill="1" applyBorder="1" applyAlignment="1" applyProtection="1">
      <alignment horizontal="right" wrapText="1"/>
      <protection locked="0"/>
    </xf>
    <xf numFmtId="2" fontId="22" fillId="0" borderId="0" xfId="372" applyNumberFormat="1" applyAlignment="1" applyProtection="1">
      <alignment horizontal="left"/>
      <protection locked="0"/>
    </xf>
    <xf numFmtId="0" fontId="0" fillId="5" borderId="0" xfId="0" applyFill="1"/>
    <xf numFmtId="0" fontId="43" fillId="0" borderId="0" xfId="372" applyFont="1" applyAlignment="1">
      <alignment horizontal="left"/>
    </xf>
    <xf numFmtId="0" fontId="22" fillId="0" borderId="81" xfId="372" applyBorder="1" applyAlignment="1">
      <alignment horizontal="centerContinuous"/>
    </xf>
    <xf numFmtId="0" fontId="52" fillId="0" borderId="60" xfId="372" applyFont="1" applyBorder="1" applyAlignment="1">
      <alignment horizontal="centerContinuous"/>
    </xf>
    <xf numFmtId="0" fontId="52" fillId="0" borderId="61" xfId="372" applyFont="1" applyBorder="1" applyAlignment="1">
      <alignment horizontal="centerContinuous"/>
    </xf>
    <xf numFmtId="0" fontId="22" fillId="0" borderId="13" xfId="372" applyBorder="1" applyAlignment="1">
      <alignment horizontal="center"/>
    </xf>
    <xf numFmtId="2" fontId="66" fillId="2" borderId="0" xfId="372" applyNumberFormat="1" applyFont="1" applyFill="1"/>
    <xf numFmtId="0" fontId="79" fillId="2" borderId="0" xfId="372" applyFont="1" applyFill="1"/>
    <xf numFmtId="2" fontId="79" fillId="2" borderId="0" xfId="372" applyNumberFormat="1" applyFont="1" applyFill="1" applyAlignment="1" applyProtection="1">
      <alignment horizontal="left"/>
      <protection locked="0"/>
    </xf>
    <xf numFmtId="0" fontId="0" fillId="4" borderId="0" xfId="0" applyFill="1"/>
    <xf numFmtId="2" fontId="0" fillId="4" borderId="0" xfId="0" applyNumberFormat="1" applyFill="1"/>
    <xf numFmtId="2" fontId="0" fillId="0" borderId="1" xfId="0" applyNumberFormat="1" applyBorder="1"/>
    <xf numFmtId="0" fontId="0" fillId="0" borderId="1" xfId="0" applyBorder="1"/>
    <xf numFmtId="2" fontId="0" fillId="4" borderId="1" xfId="0" applyNumberFormat="1" applyFill="1" applyBorder="1"/>
    <xf numFmtId="2" fontId="0" fillId="0" borderId="14" xfId="0" applyNumberFormat="1" applyBorder="1"/>
    <xf numFmtId="2" fontId="0" fillId="4" borderId="14" xfId="0" applyNumberFormat="1" applyFill="1" applyBorder="1"/>
    <xf numFmtId="0" fontId="66" fillId="2" borderId="0" xfId="372" applyFont="1" applyFill="1"/>
    <xf numFmtId="2" fontId="22" fillId="2" borderId="1" xfId="372" applyNumberFormat="1" applyFill="1" applyBorder="1" applyAlignment="1">
      <alignment horizontal="right"/>
    </xf>
    <xf numFmtId="0" fontId="22" fillId="0" borderId="1" xfId="372" applyBorder="1" applyAlignment="1">
      <alignment horizontal="right"/>
    </xf>
    <xf numFmtId="0" fontId="43" fillId="0" borderId="0" xfId="372" applyFont="1"/>
    <xf numFmtId="0" fontId="66" fillId="0" borderId="0" xfId="372" applyFont="1"/>
    <xf numFmtId="2" fontId="22" fillId="0" borderId="1" xfId="372" applyNumberFormat="1" applyBorder="1" applyAlignment="1">
      <alignment horizontal="right"/>
    </xf>
    <xf numFmtId="0" fontId="66" fillId="30" borderId="15" xfId="372" applyFont="1" applyFill="1" applyBorder="1"/>
    <xf numFmtId="0" fontId="55" fillId="0" borderId="0" xfId="372" applyFont="1" applyAlignment="1">
      <alignment wrapText="1"/>
    </xf>
    <xf numFmtId="0" fontId="66" fillId="2" borderId="60" xfId="372" applyFont="1" applyFill="1" applyBorder="1"/>
    <xf numFmtId="0" fontId="83" fillId="2" borderId="0" xfId="0" applyFont="1" applyFill="1"/>
    <xf numFmtId="0" fontId="71" fillId="2" borderId="0" xfId="0" applyFont="1" applyFill="1" applyAlignment="1">
      <alignment horizontal="center" vertical="center"/>
    </xf>
    <xf numFmtId="166" fontId="71" fillId="2" borderId="0" xfId="0" applyNumberFormat="1" applyFont="1" applyFill="1" applyAlignment="1" applyProtection="1">
      <alignment horizontal="center"/>
      <protection locked="0"/>
    </xf>
    <xf numFmtId="166" fontId="71" fillId="2" borderId="0" xfId="0" applyNumberFormat="1" applyFont="1" applyFill="1" applyAlignment="1">
      <alignment horizontal="center"/>
    </xf>
    <xf numFmtId="0" fontId="71" fillId="2" borderId="0" xfId="0" applyFont="1" applyFill="1" applyAlignment="1">
      <alignment horizontal="left"/>
    </xf>
    <xf numFmtId="0" fontId="71" fillId="2" borderId="0" xfId="0" applyFont="1" applyFill="1"/>
    <xf numFmtId="0" fontId="76" fillId="34" borderId="22" xfId="0" applyFont="1" applyFill="1" applyBorder="1" applyAlignment="1">
      <alignment horizontal="right"/>
    </xf>
    <xf numFmtId="0" fontId="0" fillId="4" borderId="1" xfId="0" applyFill="1" applyBorder="1" applyAlignment="1" applyProtection="1">
      <alignment horizontal="left"/>
      <protection locked="0"/>
    </xf>
    <xf numFmtId="0" fontId="0" fillId="4" borderId="14" xfId="0" applyFill="1" applyBorder="1" applyAlignment="1" applyProtection="1">
      <alignment horizontal="left"/>
      <protection locked="0"/>
    </xf>
    <xf numFmtId="166" fontId="0" fillId="5" borderId="27" xfId="0" applyNumberFormat="1" applyFill="1" applyBorder="1" applyAlignment="1">
      <alignment horizontal="left"/>
    </xf>
    <xf numFmtId="0" fontId="0" fillId="5" borderId="9" xfId="0" applyFill="1" applyBorder="1"/>
    <xf numFmtId="0" fontId="0" fillId="5" borderId="9" xfId="0" applyFill="1" applyBorder="1" applyAlignment="1">
      <alignment horizontal="center"/>
    </xf>
    <xf numFmtId="166" fontId="0" fillId="3" borderId="16" xfId="0" applyNumberFormat="1" applyFill="1" applyBorder="1" applyAlignment="1" applyProtection="1">
      <alignment horizontal="center"/>
      <protection locked="0"/>
    </xf>
    <xf numFmtId="166" fontId="0" fillId="5" borderId="16" xfId="0" applyNumberFormat="1" applyFill="1" applyBorder="1" applyAlignment="1">
      <alignment horizontal="center"/>
    </xf>
    <xf numFmtId="2" fontId="0" fillId="5" borderId="14" xfId="0" applyNumberFormat="1" applyFill="1" applyBorder="1"/>
    <xf numFmtId="2" fontId="85" fillId="31" borderId="85" xfId="0" applyNumberFormat="1" applyFont="1" applyFill="1" applyBorder="1"/>
    <xf numFmtId="2" fontId="76" fillId="31" borderId="25" xfId="0" applyNumberFormat="1" applyFont="1" applyFill="1" applyBorder="1"/>
    <xf numFmtId="2" fontId="7" fillId="4" borderId="22" xfId="0" applyNumberFormat="1" applyFont="1" applyFill="1" applyBorder="1"/>
    <xf numFmtId="2" fontId="76" fillId="36" borderId="1" xfId="0" applyNumberFormat="1" applyFont="1" applyFill="1" applyBorder="1" applyAlignment="1">
      <alignment horizontal="center" wrapText="1"/>
    </xf>
    <xf numFmtId="2" fontId="76" fillId="36" borderId="1" xfId="0" applyNumberFormat="1" applyFont="1" applyFill="1" applyBorder="1" applyAlignment="1">
      <alignment horizontal="center"/>
    </xf>
    <xf numFmtId="2" fontId="76" fillId="36" borderId="14" xfId="0" applyNumberFormat="1" applyFont="1" applyFill="1" applyBorder="1" applyAlignment="1">
      <alignment horizontal="center"/>
    </xf>
    <xf numFmtId="2" fontId="0" fillId="4" borderId="1" xfId="0" applyNumberFormat="1" applyFill="1" applyBorder="1" applyAlignment="1">
      <alignment horizontal="center"/>
    </xf>
    <xf numFmtId="0" fontId="61" fillId="0" borderId="0" xfId="372" applyFont="1" applyAlignment="1">
      <alignment wrapText="1"/>
    </xf>
    <xf numFmtId="0" fontId="22" fillId="0" borderId="0" xfId="372" applyAlignment="1">
      <alignment wrapText="1"/>
    </xf>
    <xf numFmtId="0" fontId="22" fillId="5" borderId="5" xfId="372" applyFill="1" applyBorder="1" applyAlignment="1">
      <alignment wrapText="1"/>
    </xf>
    <xf numFmtId="49" fontId="0" fillId="4" borderId="1" xfId="0" applyNumberFormat="1" applyFill="1" applyBorder="1" applyAlignment="1" applyProtection="1">
      <alignment horizontal="left"/>
      <protection locked="0"/>
    </xf>
    <xf numFmtId="49" fontId="0" fillId="4" borderId="14" xfId="0" applyNumberFormat="1" applyFill="1" applyBorder="1" applyAlignment="1" applyProtection="1">
      <alignment horizontal="left"/>
      <protection locked="0"/>
    </xf>
    <xf numFmtId="0" fontId="17" fillId="37" borderId="33" xfId="0" applyFont="1" applyFill="1" applyBorder="1"/>
    <xf numFmtId="0" fontId="17" fillId="37" borderId="0" xfId="0" applyFont="1" applyFill="1" applyAlignment="1">
      <alignment horizontal="center" vertical="center" wrapText="1"/>
    </xf>
    <xf numFmtId="0" fontId="0" fillId="0" borderId="9" xfId="0" applyBorder="1"/>
    <xf numFmtId="0" fontId="0" fillId="4" borderId="9" xfId="0" applyFill="1" applyBorder="1"/>
    <xf numFmtId="2" fontId="0" fillId="0" borderId="4" xfId="0" applyNumberFormat="1" applyBorder="1"/>
    <xf numFmtId="2" fontId="0" fillId="4" borderId="4" xfId="0" applyNumberFormat="1" applyFill="1" applyBorder="1"/>
    <xf numFmtId="0" fontId="17" fillId="37" borderId="36" xfId="0" applyFont="1" applyFill="1" applyBorder="1" applyAlignment="1">
      <alignment horizontal="center" wrapText="1"/>
    </xf>
    <xf numFmtId="0" fontId="17" fillId="37" borderId="60" xfId="0" applyFont="1" applyFill="1" applyBorder="1" applyAlignment="1">
      <alignment horizontal="center" wrapText="1"/>
    </xf>
    <xf numFmtId="0" fontId="17" fillId="37" borderId="65" xfId="0" applyFont="1" applyFill="1" applyBorder="1" applyAlignment="1">
      <alignment horizontal="center" wrapText="1"/>
    </xf>
    <xf numFmtId="2" fontId="0" fillId="0" borderId="9" xfId="0" applyNumberFormat="1" applyBorder="1"/>
    <xf numFmtId="2" fontId="0" fillId="4" borderId="9" xfId="0" applyNumberFormat="1" applyFill="1" applyBorder="1"/>
    <xf numFmtId="0" fontId="0" fillId="4" borderId="15" xfId="0" applyFill="1" applyBorder="1"/>
    <xf numFmtId="2" fontId="0" fillId="4" borderId="16" xfId="0" applyNumberFormat="1" applyFill="1" applyBorder="1"/>
    <xf numFmtId="2" fontId="0" fillId="4" borderId="42" xfId="0" applyNumberFormat="1" applyFill="1" applyBorder="1"/>
    <xf numFmtId="2" fontId="0" fillId="4" borderId="15" xfId="0" applyNumberFormat="1" applyFill="1" applyBorder="1"/>
    <xf numFmtId="0" fontId="0" fillId="4" borderId="16" xfId="0" applyFill="1" applyBorder="1"/>
    <xf numFmtId="0" fontId="22" fillId="10" borderId="6" xfId="372" applyFill="1" applyBorder="1" applyAlignment="1" applyProtection="1">
      <alignment horizontal="left"/>
      <protection locked="0"/>
    </xf>
    <xf numFmtId="0" fontId="22" fillId="10" borderId="7" xfId="372" applyFill="1" applyBorder="1" applyAlignment="1" applyProtection="1">
      <alignment horizontal="left"/>
      <protection locked="0"/>
    </xf>
    <xf numFmtId="0" fontId="0" fillId="0" borderId="0" xfId="0" applyAlignment="1">
      <alignment horizontal="center"/>
    </xf>
    <xf numFmtId="0" fontId="43" fillId="0" borderId="0" xfId="372" applyFont="1" applyAlignment="1">
      <alignment horizontal="center"/>
    </xf>
    <xf numFmtId="0" fontId="0" fillId="0" borderId="0" xfId="0" applyAlignment="1">
      <alignment wrapText="1"/>
    </xf>
    <xf numFmtId="0" fontId="23" fillId="2" borderId="23" xfId="372" applyFont="1" applyFill="1" applyBorder="1" applyAlignment="1">
      <alignment horizontal="centerContinuous"/>
    </xf>
    <xf numFmtId="0" fontId="56" fillId="2" borderId="24" xfId="372" applyFont="1" applyFill="1" applyBorder="1" applyAlignment="1">
      <alignment horizontal="centerContinuous"/>
    </xf>
    <xf numFmtId="0" fontId="23" fillId="2" borderId="24" xfId="372" applyFont="1" applyFill="1" applyBorder="1" applyAlignment="1">
      <alignment horizontal="centerContinuous"/>
    </xf>
    <xf numFmtId="0" fontId="56" fillId="2" borderId="24" xfId="372" applyFont="1" applyFill="1" applyBorder="1" applyAlignment="1">
      <alignment horizontal="centerContinuous" vertical="top"/>
    </xf>
    <xf numFmtId="0" fontId="56" fillId="2" borderId="25" xfId="372" applyFont="1" applyFill="1" applyBorder="1" applyAlignment="1">
      <alignment horizontal="centerContinuous" vertical="top"/>
    </xf>
    <xf numFmtId="0" fontId="55" fillId="2" borderId="34" xfId="372" applyFont="1" applyFill="1" applyBorder="1" applyAlignment="1">
      <alignment horizontal="centerContinuous"/>
    </xf>
    <xf numFmtId="0" fontId="54" fillId="2" borderId="27" xfId="372" applyFont="1" applyFill="1" applyBorder="1" applyAlignment="1">
      <alignment horizontal="centerContinuous"/>
    </xf>
    <xf numFmtId="167" fontId="55" fillId="2" borderId="27" xfId="372" applyNumberFormat="1" applyFont="1" applyFill="1" applyBorder="1" applyAlignment="1">
      <alignment horizontal="centerContinuous"/>
    </xf>
    <xf numFmtId="167" fontId="54" fillId="2" borderId="19" xfId="372" applyNumberFormat="1" applyFont="1" applyFill="1" applyBorder="1" applyAlignment="1">
      <alignment horizontal="centerContinuous" vertical="top"/>
    </xf>
    <xf numFmtId="1" fontId="55" fillId="2" borderId="34" xfId="372" applyNumberFormat="1" applyFont="1" applyFill="1" applyBorder="1" applyAlignment="1">
      <alignment horizontal="centerContinuous"/>
    </xf>
    <xf numFmtId="0" fontId="22" fillId="2" borderId="7" xfId="372" applyFill="1" applyBorder="1" applyAlignment="1">
      <alignment horizontal="center"/>
    </xf>
    <xf numFmtId="0" fontId="0" fillId="5" borderId="78" xfId="0" applyFill="1" applyBorder="1" applyAlignment="1">
      <alignment wrapText="1"/>
    </xf>
    <xf numFmtId="0" fontId="22" fillId="4" borderId="16" xfId="372" applyFill="1" applyBorder="1" applyAlignment="1">
      <alignment horizontal="left"/>
    </xf>
    <xf numFmtId="0" fontId="66" fillId="30" borderId="42" xfId="372" applyFont="1" applyFill="1" applyBorder="1"/>
    <xf numFmtId="0" fontId="66" fillId="30" borderId="43" xfId="372" applyFont="1" applyFill="1" applyBorder="1"/>
    <xf numFmtId="0" fontId="66" fillId="30" borderId="32" xfId="372" applyFont="1" applyFill="1" applyBorder="1"/>
    <xf numFmtId="0" fontId="16" fillId="5" borderId="3" xfId="0" applyFont="1" applyFill="1" applyBorder="1"/>
    <xf numFmtId="2" fontId="65" fillId="37" borderId="1" xfId="372" applyNumberFormat="1" applyFont="1" applyFill="1" applyBorder="1" applyAlignment="1">
      <alignment horizontal="right"/>
    </xf>
    <xf numFmtId="0" fontId="22" fillId="4" borderId="4" xfId="372" applyFill="1" applyBorder="1" applyAlignment="1" applyProtection="1">
      <alignment horizontal="right"/>
      <protection locked="0"/>
    </xf>
    <xf numFmtId="49" fontId="61" fillId="4" borderId="1" xfId="372" applyNumberFormat="1" applyFont="1" applyFill="1" applyBorder="1" applyAlignment="1" applyProtection="1">
      <alignment horizontal="right"/>
      <protection locked="0"/>
    </xf>
    <xf numFmtId="49" fontId="61" fillId="4" borderId="14" xfId="372" applyNumberFormat="1" applyFont="1" applyFill="1" applyBorder="1" applyAlignment="1" applyProtection="1">
      <alignment horizontal="right"/>
      <protection locked="0"/>
    </xf>
    <xf numFmtId="2" fontId="22" fillId="4" borderId="16" xfId="372" applyNumberFormat="1" applyFill="1" applyBorder="1" applyAlignment="1" applyProtection="1">
      <alignment horizontal="right"/>
      <protection locked="0"/>
    </xf>
    <xf numFmtId="2" fontId="22" fillId="4" borderId="16" xfId="372" applyNumberFormat="1" applyFill="1" applyBorder="1" applyAlignment="1">
      <alignment horizontal="right"/>
    </xf>
    <xf numFmtId="2" fontId="22" fillId="4" borderId="42" xfId="372" applyNumberFormat="1" applyFill="1" applyBorder="1" applyAlignment="1" applyProtection="1">
      <alignment horizontal="right"/>
      <protection locked="0"/>
    </xf>
    <xf numFmtId="0" fontId="22" fillId="2" borderId="9" xfId="372" applyFill="1" applyBorder="1" applyAlignment="1" applyProtection="1">
      <alignment horizontal="center"/>
      <protection locked="0"/>
    </xf>
    <xf numFmtId="0" fontId="22" fillId="2" borderId="1" xfId="372" applyFill="1" applyBorder="1" applyAlignment="1" applyProtection="1">
      <alignment horizontal="center"/>
      <protection locked="0"/>
    </xf>
    <xf numFmtId="0" fontId="37" fillId="0" borderId="59" xfId="372" applyFont="1" applyBorder="1" applyAlignment="1">
      <alignment horizontal="center" vertical="center" wrapText="1"/>
    </xf>
    <xf numFmtId="0" fontId="37" fillId="0" borderId="1" xfId="372" applyFont="1" applyBorder="1" applyAlignment="1">
      <alignment horizontal="center" vertical="center" wrapText="1"/>
    </xf>
    <xf numFmtId="0" fontId="37" fillId="0" borderId="12" xfId="372" applyFont="1" applyBorder="1" applyAlignment="1">
      <alignment horizontal="center" vertical="center" wrapText="1"/>
    </xf>
    <xf numFmtId="0" fontId="90" fillId="0" borderId="36" xfId="372" applyFont="1" applyBorder="1" applyAlignment="1">
      <alignment horizontal="centerContinuous"/>
    </xf>
    <xf numFmtId="0" fontId="80" fillId="4" borderId="59" xfId="372" applyFont="1" applyFill="1" applyBorder="1" applyAlignment="1">
      <alignment horizontal="center" vertical="center"/>
    </xf>
    <xf numFmtId="4" fontId="16" fillId="4" borderId="1" xfId="0" applyNumberFormat="1" applyFont="1" applyFill="1" applyBorder="1" applyAlignment="1">
      <alignment horizontal="center"/>
    </xf>
    <xf numFmtId="0" fontId="89" fillId="31" borderId="4" xfId="0" applyFont="1" applyFill="1" applyBorder="1" applyAlignment="1">
      <alignment horizontal="left"/>
    </xf>
    <xf numFmtId="0" fontId="89" fillId="31" borderId="5" xfId="0" applyFont="1" applyFill="1" applyBorder="1" applyAlignment="1">
      <alignment horizontal="left"/>
    </xf>
    <xf numFmtId="0" fontId="89" fillId="31" borderId="40" xfId="0" applyFont="1" applyFill="1" applyBorder="1" applyAlignment="1">
      <alignment horizontal="left"/>
    </xf>
    <xf numFmtId="0" fontId="66" fillId="0" borderId="0" xfId="372" applyFont="1" applyAlignment="1">
      <alignment horizontal="center"/>
    </xf>
    <xf numFmtId="0" fontId="77" fillId="0" borderId="0" xfId="372" applyFont="1" applyAlignment="1">
      <alignment horizontal="center"/>
    </xf>
    <xf numFmtId="0" fontId="77" fillId="0" borderId="0" xfId="372" applyFont="1" applyAlignment="1">
      <alignment horizontal="left"/>
    </xf>
    <xf numFmtId="2" fontId="22" fillId="4" borderId="42" xfId="372" applyNumberFormat="1" applyFill="1" applyBorder="1" applyAlignment="1">
      <alignment horizontal="right"/>
    </xf>
    <xf numFmtId="2" fontId="0" fillId="4" borderId="64" xfId="0" applyNumberFormat="1" applyFill="1" applyBorder="1"/>
    <xf numFmtId="0" fontId="62" fillId="0" borderId="0" xfId="505" applyFont="1" applyAlignment="1">
      <alignment horizontal="left" wrapText="1"/>
    </xf>
    <xf numFmtId="2" fontId="0" fillId="2" borderId="14" xfId="0" applyNumberFormat="1" applyFill="1" applyBorder="1"/>
    <xf numFmtId="4" fontId="0" fillId="5" borderId="18" xfId="0" applyNumberFormat="1" applyFill="1" applyBorder="1" applyAlignment="1">
      <alignment horizontal="right"/>
    </xf>
    <xf numFmtId="49" fontId="0" fillId="5" borderId="4" xfId="0" applyNumberFormat="1" applyFill="1" applyBorder="1" applyAlignment="1">
      <alignment wrapText="1"/>
    </xf>
    <xf numFmtId="49" fontId="0" fillId="5" borderId="5" xfId="0" applyNumberFormat="1" applyFill="1" applyBorder="1" applyAlignment="1">
      <alignment wrapText="1"/>
    </xf>
    <xf numFmtId="49" fontId="42" fillId="2" borderId="23" xfId="0" applyNumberFormat="1" applyFont="1" applyFill="1" applyBorder="1" applyAlignment="1">
      <alignment wrapText="1"/>
    </xf>
    <xf numFmtId="49" fontId="42" fillId="2" borderId="24" xfId="0" applyNumberFormat="1" applyFont="1" applyFill="1" applyBorder="1" applyAlignment="1">
      <alignment wrapText="1"/>
    </xf>
    <xf numFmtId="49" fontId="42" fillId="2" borderId="28" xfId="0" applyNumberFormat="1" applyFont="1" applyFill="1" applyBorder="1" applyAlignment="1">
      <alignment wrapText="1"/>
    </xf>
    <xf numFmtId="49" fontId="0" fillId="9" borderId="3" xfId="0" applyNumberFormat="1" applyFill="1" applyBorder="1" applyAlignment="1">
      <alignment wrapText="1"/>
    </xf>
    <xf numFmtId="49" fontId="0" fillId="9" borderId="34" xfId="0" applyNumberFormat="1" applyFill="1" applyBorder="1" applyAlignment="1">
      <alignment wrapText="1"/>
    </xf>
    <xf numFmtId="49" fontId="0" fillId="9" borderId="27" xfId="0" applyNumberFormat="1" applyFill="1" applyBorder="1" applyAlignment="1">
      <alignment wrapText="1"/>
    </xf>
    <xf numFmtId="49" fontId="0" fillId="5" borderId="2" xfId="0" applyNumberFormat="1" applyFill="1" applyBorder="1" applyAlignment="1">
      <alignment wrapText="1"/>
    </xf>
    <xf numFmtId="49" fontId="0" fillId="5" borderId="10" xfId="0" applyNumberFormat="1" applyFill="1" applyBorder="1" applyAlignment="1">
      <alignment wrapText="1"/>
    </xf>
    <xf numFmtId="4" fontId="0" fillId="2" borderId="0" xfId="0" applyNumberFormat="1" applyFill="1" applyAlignment="1">
      <alignment horizontal="right"/>
    </xf>
    <xf numFmtId="49" fontId="0" fillId="9" borderId="0" xfId="0" applyNumberFormat="1" applyFill="1" applyAlignment="1">
      <alignment wrapText="1"/>
    </xf>
    <xf numFmtId="49" fontId="0" fillId="9" borderId="78" xfId="0" applyNumberFormat="1" applyFill="1" applyBorder="1" applyAlignment="1">
      <alignment wrapText="1"/>
    </xf>
    <xf numFmtId="49" fontId="0" fillId="9" borderId="75" xfId="0" applyNumberFormat="1" applyFill="1" applyBorder="1" applyAlignment="1">
      <alignment wrapText="1"/>
    </xf>
    <xf numFmtId="166" fontId="0" fillId="3" borderId="9" xfId="0" applyNumberFormat="1" applyFill="1" applyBorder="1" applyProtection="1">
      <protection locked="0"/>
    </xf>
    <xf numFmtId="166" fontId="0" fillId="5" borderId="64" xfId="0" applyNumberFormat="1" applyFill="1" applyBorder="1"/>
    <xf numFmtId="0" fontId="94" fillId="0" borderId="0" xfId="372" applyFont="1"/>
    <xf numFmtId="0" fontId="95" fillId="0" borderId="0" xfId="0" applyFont="1"/>
    <xf numFmtId="2" fontId="95" fillId="2" borderId="0" xfId="0" applyNumberFormat="1" applyFont="1" applyFill="1"/>
    <xf numFmtId="0" fontId="95" fillId="0" borderId="0" xfId="0" applyFont="1" applyAlignment="1">
      <alignment wrapText="1"/>
    </xf>
    <xf numFmtId="0" fontId="0" fillId="8" borderId="5" xfId="0" applyFill="1" applyBorder="1"/>
    <xf numFmtId="0" fontId="0" fillId="8" borderId="6" xfId="0" applyFill="1" applyBorder="1"/>
    <xf numFmtId="0" fontId="0" fillId="4" borderId="14" xfId="0" applyFill="1" applyBorder="1"/>
    <xf numFmtId="4" fontId="0" fillId="5" borderId="14" xfId="0" applyNumberFormat="1" applyFill="1" applyBorder="1" applyAlignment="1">
      <alignment horizontal="right"/>
    </xf>
    <xf numFmtId="0" fontId="96" fillId="0" borderId="0" xfId="0" applyFont="1" applyAlignment="1">
      <alignment vertical="center" wrapText="1"/>
    </xf>
    <xf numFmtId="0" fontId="84" fillId="34" borderId="23" xfId="0" applyFont="1" applyFill="1" applyBorder="1" applyAlignment="1">
      <alignment vertical="center"/>
    </xf>
    <xf numFmtId="0" fontId="84" fillId="34" borderId="24" xfId="0" applyFont="1" applyFill="1" applyBorder="1" applyAlignment="1">
      <alignment vertical="center"/>
    </xf>
    <xf numFmtId="0" fontId="84" fillId="34" borderId="28" xfId="0" applyFont="1" applyFill="1" applyBorder="1" applyAlignment="1">
      <alignment vertical="center"/>
    </xf>
    <xf numFmtId="4" fontId="85" fillId="31" borderId="25" xfId="0" applyNumberFormat="1" applyFont="1" applyFill="1" applyBorder="1" applyAlignment="1">
      <alignment vertical="center"/>
    </xf>
    <xf numFmtId="0" fontId="85" fillId="31" borderId="52" xfId="0" applyFont="1" applyFill="1" applyBorder="1" applyAlignment="1">
      <alignment vertical="center"/>
    </xf>
    <xf numFmtId="0" fontId="93" fillId="0" borderId="0" xfId="0" applyFont="1"/>
    <xf numFmtId="0" fontId="0" fillId="2" borderId="14" xfId="0" applyFill="1" applyBorder="1" applyAlignment="1" applyProtection="1">
      <alignment horizontal="right"/>
      <protection locked="0"/>
    </xf>
    <xf numFmtId="0" fontId="0" fillId="2" borderId="64" xfId="0" applyFill="1" applyBorder="1" applyAlignment="1" applyProtection="1">
      <alignment horizontal="right"/>
      <protection locked="0"/>
    </xf>
    <xf numFmtId="0" fontId="78" fillId="2" borderId="14" xfId="0" applyFont="1" applyFill="1" applyBorder="1" applyAlignment="1" applyProtection="1">
      <alignment vertical="center"/>
      <protection locked="0"/>
    </xf>
    <xf numFmtId="0" fontId="0" fillId="3" borderId="1" xfId="0" applyFill="1" applyBorder="1" applyAlignment="1" applyProtection="1">
      <alignment horizontal="center"/>
      <protection locked="0"/>
    </xf>
    <xf numFmtId="0" fontId="17" fillId="2" borderId="0" xfId="0" applyFont="1" applyFill="1" applyAlignment="1">
      <alignment horizontal="center" vertical="center"/>
    </xf>
    <xf numFmtId="166" fontId="17" fillId="2" borderId="0" xfId="0" applyNumberFormat="1" applyFont="1" applyFill="1" applyAlignment="1" applyProtection="1">
      <alignment horizontal="center"/>
      <protection locked="0"/>
    </xf>
    <xf numFmtId="0" fontId="0" fillId="5" borderId="1" xfId="0" applyFill="1" applyBorder="1" applyAlignment="1" applyProtection="1">
      <alignment horizontal="left"/>
      <protection locked="0"/>
    </xf>
    <xf numFmtId="49" fontId="0" fillId="5" borderId="1" xfId="0" applyNumberFormat="1" applyFill="1" applyBorder="1" applyAlignment="1" applyProtection="1">
      <alignment horizontal="left"/>
      <protection locked="0"/>
    </xf>
    <xf numFmtId="0" fontId="0" fillId="5" borderId="14" xfId="0" applyFill="1" applyBorder="1" applyAlignment="1" applyProtection="1">
      <alignment horizontal="left"/>
      <protection locked="0"/>
    </xf>
    <xf numFmtId="0" fontId="0" fillId="5" borderId="16" xfId="0" applyFill="1" applyBorder="1" applyAlignment="1" applyProtection="1">
      <alignment horizontal="left"/>
      <protection locked="0"/>
    </xf>
    <xf numFmtId="0" fontId="0" fillId="5" borderId="17" xfId="0" applyFill="1" applyBorder="1" applyAlignment="1" applyProtection="1">
      <alignment horizontal="left"/>
      <protection locked="0"/>
    </xf>
    <xf numFmtId="49" fontId="0" fillId="5" borderId="14" xfId="0" applyNumberFormat="1" applyFill="1" applyBorder="1" applyAlignment="1" applyProtection="1">
      <alignment horizontal="left"/>
      <protection locked="0"/>
    </xf>
    <xf numFmtId="2" fontId="0" fillId="0" borderId="59" xfId="0" applyNumberFormat="1" applyBorder="1"/>
    <xf numFmtId="2" fontId="0" fillId="0" borderId="17" xfId="0" applyNumberFormat="1" applyBorder="1"/>
    <xf numFmtId="2" fontId="61" fillId="4" borderId="1" xfId="372" applyNumberFormat="1" applyFont="1" applyFill="1" applyBorder="1" applyAlignment="1" applyProtection="1">
      <alignment horizontal="right"/>
      <protection locked="0"/>
    </xf>
    <xf numFmtId="2" fontId="61" fillId="4" borderId="16" xfId="372" applyNumberFormat="1" applyFont="1" applyFill="1" applyBorder="1" applyAlignment="1" applyProtection="1">
      <alignment horizontal="right"/>
      <protection locked="0"/>
    </xf>
    <xf numFmtId="0" fontId="17" fillId="37" borderId="68" xfId="0" applyFont="1" applyFill="1" applyBorder="1"/>
    <xf numFmtId="2" fontId="17" fillId="37" borderId="35" xfId="0" applyNumberFormat="1" applyFont="1" applyFill="1" applyBorder="1"/>
    <xf numFmtId="2" fontId="17" fillId="37" borderId="3" xfId="0" applyNumberFormat="1" applyFont="1" applyFill="1" applyBorder="1"/>
    <xf numFmtId="2" fontId="17" fillId="37" borderId="63" xfId="0" applyNumberFormat="1" applyFont="1" applyFill="1" applyBorder="1"/>
    <xf numFmtId="2" fontId="17" fillId="37" borderId="87" xfId="0" applyNumberFormat="1" applyFont="1" applyFill="1" applyBorder="1"/>
    <xf numFmtId="49" fontId="0" fillId="4" borderId="1" xfId="0" applyNumberFormat="1" applyFill="1" applyBorder="1" applyAlignment="1">
      <alignment horizontal="center"/>
    </xf>
    <xf numFmtId="0" fontId="0" fillId="4" borderId="1" xfId="0" applyFill="1" applyBorder="1" applyAlignment="1">
      <alignment horizontal="center"/>
    </xf>
    <xf numFmtId="0" fontId="66" fillId="0" borderId="88" xfId="372" applyFont="1" applyBorder="1"/>
    <xf numFmtId="0" fontId="66" fillId="2" borderId="88" xfId="372" applyFont="1" applyFill="1" applyBorder="1"/>
    <xf numFmtId="0" fontId="43" fillId="0" borderId="88" xfId="372" applyFont="1" applyBorder="1" applyAlignment="1">
      <alignment horizontal="left"/>
    </xf>
    <xf numFmtId="0" fontId="66" fillId="0" borderId="0" xfId="372" applyFont="1" applyAlignment="1">
      <alignment horizontal="left"/>
    </xf>
    <xf numFmtId="2" fontId="66" fillId="0" borderId="0" xfId="372" applyNumberFormat="1" applyFont="1"/>
    <xf numFmtId="0" fontId="66" fillId="0" borderId="78" xfId="372" applyFont="1" applyBorder="1"/>
    <xf numFmtId="0" fontId="66" fillId="2" borderId="78" xfId="372" applyFont="1" applyFill="1" applyBorder="1"/>
    <xf numFmtId="0" fontId="43" fillId="0" borderId="78" xfId="372" applyFont="1" applyBorder="1" applyAlignment="1">
      <alignment horizontal="left"/>
    </xf>
    <xf numFmtId="0" fontId="98" fillId="0" borderId="0" xfId="377" applyFont="1" applyBorder="1" applyProtection="1"/>
    <xf numFmtId="0" fontId="65" fillId="0" borderId="0" xfId="0" applyFont="1"/>
    <xf numFmtId="0" fontId="17" fillId="2" borderId="0" xfId="0" applyFont="1" applyFill="1"/>
    <xf numFmtId="2" fontId="79" fillId="0" borderId="0" xfId="372" applyNumberFormat="1" applyFont="1"/>
    <xf numFmtId="0" fontId="62" fillId="0" borderId="0" xfId="505" applyFont="1" applyAlignment="1">
      <alignment horizontal="left"/>
    </xf>
    <xf numFmtId="0" fontId="62" fillId="3" borderId="0" xfId="505" applyFont="1" applyFill="1" applyAlignment="1">
      <alignment horizontal="left"/>
    </xf>
    <xf numFmtId="0" fontId="62" fillId="0" borderId="0" xfId="505" applyFont="1" applyAlignment="1">
      <alignment horizontal="left" vertical="center" wrapText="1"/>
    </xf>
    <xf numFmtId="0" fontId="62" fillId="0" borderId="0" xfId="505" applyFont="1" applyAlignment="1">
      <alignment horizontal="center" vertical="center" wrapText="1"/>
    </xf>
    <xf numFmtId="0" fontId="101" fillId="0" borderId="0" xfId="505" applyFont="1"/>
    <xf numFmtId="0" fontId="101" fillId="0" borderId="0" xfId="505" applyFont="1" applyAlignment="1">
      <alignment horizontal="left" vertical="center" wrapText="1"/>
    </xf>
    <xf numFmtId="0" fontId="44" fillId="28" borderId="0" xfId="505" applyFont="1" applyFill="1" applyAlignment="1">
      <alignment horizontal="justify" vertical="justify"/>
    </xf>
    <xf numFmtId="0" fontId="74" fillId="15" borderId="0" xfId="0" applyFont="1" applyFill="1" applyAlignment="1">
      <alignment horizontal="left" wrapText="1"/>
    </xf>
    <xf numFmtId="0" fontId="103" fillId="0" borderId="0" xfId="505" applyFont="1" applyAlignment="1">
      <alignment horizontal="center"/>
    </xf>
    <xf numFmtId="0" fontId="104" fillId="0" borderId="0" xfId="505" applyFont="1" applyAlignment="1">
      <alignment horizontal="center"/>
    </xf>
    <xf numFmtId="0" fontId="17" fillId="2" borderId="3" xfId="0" applyFont="1" applyFill="1" applyBorder="1" applyAlignment="1">
      <alignment wrapText="1"/>
    </xf>
    <xf numFmtId="0" fontId="17" fillId="2" borderId="0" xfId="0" applyFont="1" applyFill="1" applyAlignment="1">
      <alignment wrapText="1"/>
    </xf>
    <xf numFmtId="0" fontId="0" fillId="3" borderId="1" xfId="0" applyFill="1" applyBorder="1" applyProtection="1">
      <protection locked="0"/>
    </xf>
    <xf numFmtId="0" fontId="61" fillId="4" borderId="4" xfId="372" applyFont="1" applyFill="1" applyBorder="1" applyAlignment="1" applyProtection="1">
      <alignment horizontal="right"/>
      <protection locked="0"/>
    </xf>
    <xf numFmtId="0" fontId="22" fillId="2" borderId="7" xfId="372" applyFill="1" applyBorder="1" applyAlignment="1" applyProtection="1">
      <alignment horizontal="center"/>
      <protection locked="0"/>
    </xf>
    <xf numFmtId="0" fontId="78" fillId="5" borderId="14" xfId="0" applyFont="1" applyFill="1" applyBorder="1" applyAlignment="1">
      <alignment vertical="center"/>
    </xf>
    <xf numFmtId="0" fontId="76" fillId="37" borderId="22" xfId="0" applyFont="1" applyFill="1" applyBorder="1" applyAlignment="1">
      <alignment horizontal="right"/>
    </xf>
    <xf numFmtId="2" fontId="88" fillId="37" borderId="25" xfId="0" applyNumberFormat="1" applyFont="1" applyFill="1" applyBorder="1" applyAlignment="1">
      <alignment vertical="center"/>
    </xf>
    <xf numFmtId="0" fontId="85" fillId="37" borderId="22" xfId="0" applyFont="1" applyFill="1" applyBorder="1" applyAlignment="1">
      <alignment horizontal="right"/>
    </xf>
    <xf numFmtId="0" fontId="17" fillId="37" borderId="1" xfId="0" applyFont="1" applyFill="1" applyBorder="1"/>
    <xf numFmtId="2" fontId="17" fillId="37" borderId="1" xfId="0" applyNumberFormat="1" applyFont="1" applyFill="1" applyBorder="1"/>
    <xf numFmtId="2" fontId="17" fillId="37" borderId="14" xfId="0" applyNumberFormat="1" applyFont="1" applyFill="1" applyBorder="1"/>
    <xf numFmtId="2" fontId="105" fillId="31" borderId="0" xfId="0" applyNumberFormat="1" applyFont="1" applyFill="1"/>
    <xf numFmtId="0" fontId="105" fillId="31" borderId="34" xfId="0" applyFont="1" applyFill="1" applyBorder="1" applyAlignment="1">
      <alignment horizontal="center"/>
    </xf>
    <xf numFmtId="0" fontId="17" fillId="31" borderId="27" xfId="0" applyFont="1" applyFill="1" applyBorder="1" applyAlignment="1">
      <alignment horizontal="center" wrapText="1"/>
    </xf>
    <xf numFmtId="2" fontId="17" fillId="37" borderId="4" xfId="0" applyNumberFormat="1" applyFont="1" applyFill="1" applyBorder="1"/>
    <xf numFmtId="0" fontId="17" fillId="31" borderId="33" xfId="0" applyFont="1" applyFill="1" applyBorder="1" applyAlignment="1">
      <alignment horizontal="center" wrapText="1"/>
    </xf>
    <xf numFmtId="0" fontId="17" fillId="31" borderId="0" xfId="0" applyFont="1" applyFill="1" applyAlignment="1">
      <alignment horizontal="center" wrapText="1"/>
    </xf>
    <xf numFmtId="0" fontId="17" fillId="31" borderId="78" xfId="0" applyFont="1" applyFill="1" applyBorder="1" applyAlignment="1">
      <alignment horizontal="center" wrapText="1"/>
    </xf>
    <xf numFmtId="2" fontId="0" fillId="0" borderId="89" xfId="0" applyNumberFormat="1" applyBorder="1"/>
    <xf numFmtId="2" fontId="0" fillId="4" borderId="89" xfId="0" applyNumberFormat="1" applyFill="1" applyBorder="1"/>
    <xf numFmtId="2" fontId="17" fillId="37" borderId="90" xfId="0" applyNumberFormat="1" applyFont="1" applyFill="1" applyBorder="1"/>
    <xf numFmtId="2" fontId="17" fillId="37" borderId="17" xfId="0" applyNumberFormat="1" applyFont="1" applyFill="1" applyBorder="1"/>
    <xf numFmtId="2" fontId="22" fillId="4" borderId="29" xfId="372" applyNumberFormat="1" applyFill="1" applyBorder="1"/>
    <xf numFmtId="2" fontId="22" fillId="4" borderId="43" xfId="372" applyNumberFormat="1" applyFill="1" applyBorder="1"/>
    <xf numFmtId="2" fontId="22" fillId="4" borderId="44" xfId="372" applyNumberFormat="1" applyFill="1" applyBorder="1"/>
    <xf numFmtId="0" fontId="61" fillId="4" borderId="1" xfId="372" applyFont="1" applyFill="1" applyBorder="1" applyAlignment="1" applyProtection="1">
      <alignment horizontal="right"/>
      <protection locked="0"/>
    </xf>
    <xf numFmtId="0" fontId="107" fillId="0" borderId="0" xfId="372" applyFont="1" applyAlignment="1">
      <alignment horizontal="left"/>
    </xf>
    <xf numFmtId="9" fontId="107" fillId="0" borderId="0" xfId="372" applyNumberFormat="1" applyFont="1" applyAlignment="1">
      <alignment horizontal="left"/>
    </xf>
    <xf numFmtId="2" fontId="107" fillId="0" borderId="0" xfId="372" applyNumberFormat="1" applyFont="1"/>
    <xf numFmtId="0" fontId="91" fillId="0" borderId="0" xfId="372" applyFont="1" applyAlignment="1">
      <alignment horizontal="center" wrapText="1"/>
    </xf>
    <xf numFmtId="49" fontId="18" fillId="0" borderId="0" xfId="0" applyNumberFormat="1" applyFont="1"/>
    <xf numFmtId="0" fontId="61" fillId="5" borderId="0" xfId="372" applyFont="1" applyFill="1" applyAlignment="1">
      <alignment wrapText="1"/>
    </xf>
    <xf numFmtId="49" fontId="61" fillId="4" borderId="40" xfId="372" applyNumberFormat="1" applyFont="1" applyFill="1" applyBorder="1" applyAlignment="1" applyProtection="1">
      <alignment horizontal="right"/>
      <protection locked="0"/>
    </xf>
    <xf numFmtId="0" fontId="77" fillId="2" borderId="0" xfId="372" applyFont="1" applyFill="1"/>
    <xf numFmtId="2" fontId="22" fillId="2" borderId="1" xfId="372" applyNumberFormat="1" applyFill="1" applyBorder="1"/>
    <xf numFmtId="49" fontId="61" fillId="4" borderId="4" xfId="372" applyNumberFormat="1" applyFont="1" applyFill="1" applyBorder="1" applyAlignment="1" applyProtection="1">
      <alignment horizontal="right"/>
      <protection locked="0"/>
    </xf>
    <xf numFmtId="2" fontId="22" fillId="4" borderId="14" xfId="372" applyNumberFormat="1" applyFill="1" applyBorder="1"/>
    <xf numFmtId="2" fontId="22" fillId="0" borderId="0" xfId="372" applyNumberFormat="1" applyAlignment="1">
      <alignment horizontal="right"/>
    </xf>
    <xf numFmtId="0" fontId="62" fillId="0" borderId="1" xfId="372" applyFont="1" applyBorder="1" applyAlignment="1">
      <alignment horizontal="center" vertical="center" wrapText="1"/>
    </xf>
    <xf numFmtId="0" fontId="62" fillId="0" borderId="40" xfId="372" applyFont="1" applyBorder="1" applyAlignment="1">
      <alignment horizontal="center" vertical="center" wrapText="1"/>
    </xf>
    <xf numFmtId="0" fontId="2" fillId="0" borderId="0" xfId="0" applyFont="1"/>
    <xf numFmtId="0" fontId="80" fillId="0" borderId="38" xfId="372" applyFont="1" applyBorder="1" applyAlignment="1">
      <alignment horizontal="center" vertical="center" wrapText="1"/>
    </xf>
    <xf numFmtId="0" fontId="80" fillId="2" borderId="38" xfId="372" applyFont="1" applyFill="1" applyBorder="1" applyAlignment="1">
      <alignment horizontal="center" vertical="center" wrapText="1"/>
    </xf>
    <xf numFmtId="2" fontId="7" fillId="2" borderId="0" xfId="0" applyNumberFormat="1" applyFont="1" applyFill="1"/>
    <xf numFmtId="2" fontId="105" fillId="31" borderId="27" xfId="0" applyNumberFormat="1" applyFont="1" applyFill="1" applyBorder="1"/>
    <xf numFmtId="2" fontId="77" fillId="2" borderId="0" xfId="372" applyNumberFormat="1" applyFont="1" applyFill="1"/>
    <xf numFmtId="0" fontId="77" fillId="2" borderId="60" xfId="372" applyFont="1" applyFill="1" applyBorder="1"/>
    <xf numFmtId="49" fontId="0" fillId="5" borderId="10" xfId="0" applyNumberFormat="1" applyFill="1" applyBorder="1" applyAlignment="1">
      <alignment horizontal="left"/>
    </xf>
    <xf numFmtId="49" fontId="0" fillId="5" borderId="7" xfId="0" applyNumberFormat="1" applyFill="1" applyBorder="1" applyAlignment="1">
      <alignment horizontal="left"/>
    </xf>
    <xf numFmtId="4" fontId="0" fillId="5" borderId="64" xfId="0" applyNumberFormat="1" applyFill="1" applyBorder="1" applyAlignment="1">
      <alignment horizontal="right"/>
    </xf>
    <xf numFmtId="0" fontId="68" fillId="38" borderId="4" xfId="0" applyFont="1" applyFill="1" applyBorder="1"/>
    <xf numFmtId="0" fontId="68" fillId="38" borderId="5" xfId="0" applyFont="1" applyFill="1" applyBorder="1"/>
    <xf numFmtId="0" fontId="68" fillId="38" borderId="5" xfId="0" applyFont="1" applyFill="1" applyBorder="1" applyAlignment="1">
      <alignment horizontal="right"/>
    </xf>
    <xf numFmtId="0" fontId="68" fillId="38" borderId="6" xfId="0" applyFont="1" applyFill="1" applyBorder="1" applyAlignment="1">
      <alignment horizontal="right"/>
    </xf>
    <xf numFmtId="1" fontId="32" fillId="0" borderId="0" xfId="372" applyNumberFormat="1" applyFont="1" applyAlignment="1" applyProtection="1">
      <alignment horizontal="right" vertical="top" wrapText="1"/>
      <protection locked="0"/>
    </xf>
    <xf numFmtId="1" fontId="32" fillId="0" borderId="0" xfId="372" applyNumberFormat="1" applyFont="1" applyAlignment="1" applyProtection="1">
      <alignment vertical="top"/>
      <protection locked="0"/>
    </xf>
    <xf numFmtId="0" fontId="67" fillId="26" borderId="40" xfId="0" applyFont="1" applyFill="1" applyBorder="1"/>
    <xf numFmtId="0" fontId="65" fillId="24" borderId="6" xfId="0" applyFont="1" applyFill="1" applyBorder="1" applyAlignment="1">
      <alignment horizontal="right"/>
    </xf>
    <xf numFmtId="0" fontId="67" fillId="39" borderId="45" xfId="374" applyFont="1" applyFill="1" applyBorder="1"/>
    <xf numFmtId="0" fontId="67" fillId="39" borderId="76" xfId="374" applyFont="1" applyFill="1" applyBorder="1"/>
    <xf numFmtId="0" fontId="47" fillId="28" borderId="41" xfId="374" applyFont="1" applyFill="1" applyBorder="1"/>
    <xf numFmtId="0" fontId="47" fillId="28" borderId="45" xfId="374" applyFont="1" applyFill="1" applyBorder="1"/>
    <xf numFmtId="0" fontId="37" fillId="28" borderId="4" xfId="374" applyFont="1" applyFill="1" applyBorder="1"/>
    <xf numFmtId="0" fontId="37" fillId="28" borderId="5" xfId="374" applyFont="1" applyFill="1" applyBorder="1"/>
    <xf numFmtId="0" fontId="37" fillId="28" borderId="5" xfId="374" applyFont="1" applyFill="1" applyBorder="1" applyAlignment="1">
      <alignment horizontal="right"/>
    </xf>
    <xf numFmtId="0" fontId="37" fillId="28" borderId="6" xfId="374" applyFont="1" applyFill="1" applyBorder="1" applyAlignment="1">
      <alignment horizontal="right"/>
    </xf>
    <xf numFmtId="0" fontId="68" fillId="39" borderId="0" xfId="505" applyFont="1" applyFill="1" applyAlignment="1">
      <alignment horizontal="justify" vertical="justify" wrapText="1"/>
    </xf>
    <xf numFmtId="49" fontId="0" fillId="5" borderId="16" xfId="0" applyNumberFormat="1" applyFill="1" applyBorder="1" applyAlignment="1" applyProtection="1">
      <alignment horizontal="left"/>
      <protection locked="0"/>
    </xf>
    <xf numFmtId="49" fontId="0" fillId="5" borderId="17" xfId="0" applyNumberFormat="1" applyFill="1" applyBorder="1" applyAlignment="1" applyProtection="1">
      <alignment horizontal="left"/>
      <protection locked="0"/>
    </xf>
    <xf numFmtId="0" fontId="24" fillId="0" borderId="0" xfId="505" applyFont="1" applyAlignment="1">
      <alignment wrapText="1"/>
    </xf>
    <xf numFmtId="0" fontId="45" fillId="0" borderId="0" xfId="505" applyFont="1"/>
    <xf numFmtId="0" fontId="22" fillId="10" borderId="74" xfId="372" applyFill="1" applyBorder="1" applyAlignment="1">
      <alignment horizontal="center"/>
    </xf>
    <xf numFmtId="2" fontId="108" fillId="2" borderId="0" xfId="0" applyNumberFormat="1" applyFont="1" applyFill="1"/>
    <xf numFmtId="0" fontId="17" fillId="0" borderId="0" xfId="0" applyFont="1" applyAlignment="1">
      <alignment horizontal="left"/>
    </xf>
    <xf numFmtId="0" fontId="110" fillId="0" borderId="0" xfId="372" applyFont="1" applyAlignment="1">
      <alignment horizontal="center"/>
    </xf>
    <xf numFmtId="0" fontId="111" fillId="0" borderId="0" xfId="0" applyFont="1"/>
    <xf numFmtId="0" fontId="110" fillId="0" borderId="0" xfId="372" applyFont="1" applyAlignment="1">
      <alignment horizontal="left"/>
    </xf>
    <xf numFmtId="0" fontId="113" fillId="0" borderId="0" xfId="372" applyFont="1" applyAlignment="1">
      <alignment horizontal="left"/>
    </xf>
    <xf numFmtId="0" fontId="115" fillId="0" borderId="0" xfId="372" applyFont="1" applyAlignment="1">
      <alignment horizontal="left"/>
    </xf>
    <xf numFmtId="0" fontId="114" fillId="0" borderId="0" xfId="0" applyFont="1" applyAlignment="1">
      <alignment horizontal="left"/>
    </xf>
    <xf numFmtId="0" fontId="117" fillId="0" borderId="0" xfId="372" applyFont="1" applyAlignment="1">
      <alignment horizontal="left"/>
    </xf>
    <xf numFmtId="0" fontId="116" fillId="0" borderId="0" xfId="0" applyFont="1" applyAlignment="1">
      <alignment horizontal="left"/>
    </xf>
    <xf numFmtId="0" fontId="111" fillId="0" borderId="0" xfId="0" applyFont="1" applyAlignment="1">
      <alignment horizontal="left"/>
    </xf>
    <xf numFmtId="0" fontId="112" fillId="0" borderId="0" xfId="0" applyFont="1" applyAlignment="1">
      <alignment horizontal="left"/>
    </xf>
    <xf numFmtId="2" fontId="65" fillId="39" borderId="1" xfId="372" applyNumberFormat="1" applyFont="1" applyFill="1" applyBorder="1"/>
    <xf numFmtId="0" fontId="65" fillId="16" borderId="0" xfId="372" applyFont="1" applyFill="1"/>
    <xf numFmtId="0" fontId="65" fillId="17" borderId="0" xfId="372" applyFont="1" applyFill="1"/>
    <xf numFmtId="0" fontId="65" fillId="20" borderId="0" xfId="372" applyFont="1" applyFill="1"/>
    <xf numFmtId="0" fontId="65" fillId="3" borderId="0" xfId="372" applyFont="1" applyFill="1"/>
    <xf numFmtId="0" fontId="65" fillId="21" borderId="0" xfId="372" applyFont="1" applyFill="1"/>
    <xf numFmtId="0" fontId="65" fillId="28" borderId="0" xfId="372" applyFont="1" applyFill="1"/>
    <xf numFmtId="2" fontId="0" fillId="5" borderId="63" xfId="0" applyNumberFormat="1" applyFill="1" applyBorder="1" applyAlignment="1">
      <alignment horizontal="right"/>
    </xf>
    <xf numFmtId="0" fontId="0" fillId="8" borderId="13" xfId="0" applyFill="1" applyBorder="1"/>
    <xf numFmtId="49" fontId="0" fillId="5" borderId="53" xfId="0" applyNumberFormat="1" applyFill="1" applyBorder="1" applyAlignment="1">
      <alignment horizontal="left"/>
    </xf>
    <xf numFmtId="4" fontId="0" fillId="4" borderId="17" xfId="0" applyNumberFormat="1" applyFill="1" applyBorder="1" applyAlignment="1">
      <alignment horizontal="right"/>
    </xf>
    <xf numFmtId="0" fontId="107" fillId="0" borderId="0" xfId="372" applyFont="1" applyAlignment="1">
      <alignment horizontal="center"/>
    </xf>
    <xf numFmtId="0" fontId="61" fillId="5" borderId="5" xfId="372" applyFont="1" applyFill="1" applyBorder="1" applyAlignment="1">
      <alignment horizontal="left" wrapText="1"/>
    </xf>
    <xf numFmtId="0" fontId="22" fillId="5" borderId="5" xfId="372" applyFill="1" applyBorder="1" applyAlignment="1">
      <alignment horizontal="left" wrapText="1"/>
    </xf>
    <xf numFmtId="0" fontId="22" fillId="5" borderId="10" xfId="372" applyFill="1" applyBorder="1" applyAlignment="1">
      <alignment horizontal="left" wrapText="1"/>
    </xf>
    <xf numFmtId="0" fontId="61" fillId="5" borderId="10" xfId="372" applyFont="1" applyFill="1" applyBorder="1" applyAlignment="1">
      <alignment horizontal="left" wrapText="1"/>
    </xf>
    <xf numFmtId="0" fontId="61" fillId="5" borderId="77" xfId="372" applyFont="1" applyFill="1" applyBorder="1" applyAlignment="1">
      <alignment horizontal="left" wrapText="1"/>
    </xf>
    <xf numFmtId="166" fontId="0" fillId="0" borderId="0" xfId="0" applyNumberFormat="1"/>
    <xf numFmtId="0" fontId="37" fillId="0" borderId="9" xfId="0" applyFont="1" applyBorder="1" applyAlignment="1">
      <alignment horizontal="center" vertical="center" wrapText="1"/>
    </xf>
    <xf numFmtId="0" fontId="16" fillId="2" borderId="27" xfId="0" applyFont="1" applyFill="1" applyBorder="1"/>
    <xf numFmtId="165" fontId="0" fillId="2" borderId="1" xfId="0" applyNumberFormat="1" applyFill="1" applyBorder="1" applyAlignment="1">
      <alignment horizontal="center"/>
    </xf>
    <xf numFmtId="0" fontId="0" fillId="0" borderId="0" xfId="0" applyAlignment="1">
      <alignment horizontal="left"/>
    </xf>
    <xf numFmtId="14" fontId="105" fillId="31" borderId="33" xfId="0" applyNumberFormat="1" applyFont="1" applyFill="1" applyBorder="1" applyAlignment="1">
      <alignment horizontal="center"/>
    </xf>
    <xf numFmtId="0" fontId="0" fillId="0" borderId="45" xfId="0" applyBorder="1"/>
    <xf numFmtId="0" fontId="119" fillId="2" borderId="0" xfId="372" applyFont="1" applyFill="1"/>
    <xf numFmtId="2" fontId="119" fillId="2" borderId="0" xfId="372" applyNumberFormat="1" applyFont="1" applyFill="1"/>
    <xf numFmtId="0" fontId="120" fillId="0" borderId="0" xfId="372" applyFont="1"/>
    <xf numFmtId="0" fontId="119" fillId="2" borderId="60" xfId="372" applyFont="1" applyFill="1" applyBorder="1"/>
    <xf numFmtId="0" fontId="121" fillId="0" borderId="0" xfId="377" applyFont="1" applyBorder="1" applyProtection="1"/>
    <xf numFmtId="0" fontId="119" fillId="0" borderId="0" xfId="372" applyFont="1" applyAlignment="1">
      <alignment horizontal="center"/>
    </xf>
    <xf numFmtId="0" fontId="119" fillId="0" borderId="0" xfId="372" applyFont="1" applyAlignment="1">
      <alignment horizontal="left"/>
    </xf>
    <xf numFmtId="0" fontId="122" fillId="0" borderId="0" xfId="0" applyFont="1"/>
    <xf numFmtId="0" fontId="123" fillId="0" borderId="0" xfId="372" applyFont="1"/>
    <xf numFmtId="0" fontId="122" fillId="0" borderId="0" xfId="0" applyFont="1" applyAlignment="1">
      <alignment horizontal="left"/>
    </xf>
    <xf numFmtId="0" fontId="120" fillId="0" borderId="0" xfId="0" applyFont="1"/>
    <xf numFmtId="0" fontId="124" fillId="0" borderId="0" xfId="538" applyFont="1" applyBorder="1" applyProtection="1"/>
    <xf numFmtId="0" fontId="124" fillId="0" borderId="0" xfId="372" applyFont="1" applyAlignment="1">
      <alignment horizontal="right"/>
    </xf>
    <xf numFmtId="0" fontId="120" fillId="2" borderId="0" xfId="372" applyFont="1" applyFill="1"/>
    <xf numFmtId="0" fontId="121" fillId="2" borderId="0" xfId="377" applyFont="1" applyFill="1" applyBorder="1" applyProtection="1"/>
    <xf numFmtId="0" fontId="123" fillId="2" borderId="0" xfId="372" applyFont="1" applyFill="1"/>
    <xf numFmtId="0" fontId="124" fillId="2" borderId="0" xfId="538" applyFont="1" applyFill="1" applyBorder="1" applyProtection="1"/>
    <xf numFmtId="0" fontId="124" fillId="2" borderId="0" xfId="372" applyFont="1" applyFill="1" applyAlignment="1">
      <alignment horizontal="right"/>
    </xf>
    <xf numFmtId="0" fontId="122" fillId="2" borderId="0" xfId="0" applyFont="1" applyFill="1"/>
    <xf numFmtId="0" fontId="120" fillId="4" borderId="0" xfId="372" applyFont="1" applyFill="1"/>
    <xf numFmtId="0" fontId="120" fillId="15" borderId="0" xfId="372" applyFont="1" applyFill="1"/>
    <xf numFmtId="0" fontId="120" fillId="14" borderId="0" xfId="372" applyFont="1" applyFill="1"/>
    <xf numFmtId="2" fontId="120" fillId="0" borderId="0" xfId="372" applyNumberFormat="1" applyFont="1" applyAlignment="1" applyProtection="1">
      <alignment horizontal="left"/>
      <protection locked="0"/>
    </xf>
    <xf numFmtId="2" fontId="120" fillId="2" borderId="0" xfId="372" applyNumberFormat="1" applyFont="1" applyFill="1" applyAlignment="1" applyProtection="1">
      <alignment horizontal="left"/>
      <protection locked="0"/>
    </xf>
    <xf numFmtId="2" fontId="122" fillId="0" borderId="0" xfId="0" applyNumberFormat="1" applyFont="1"/>
    <xf numFmtId="0" fontId="122" fillId="4" borderId="0" xfId="0" applyFont="1" applyFill="1"/>
    <xf numFmtId="2" fontId="119" fillId="0" borderId="0" xfId="372" applyNumberFormat="1" applyFont="1"/>
    <xf numFmtId="9" fontId="119" fillId="0" borderId="0" xfId="372" applyNumberFormat="1" applyFont="1" applyAlignment="1">
      <alignment horizontal="left"/>
    </xf>
    <xf numFmtId="2" fontId="120" fillId="0" borderId="0" xfId="372" applyNumberFormat="1" applyFont="1"/>
    <xf numFmtId="0" fontId="120" fillId="2" borderId="0" xfId="0" applyFont="1" applyFill="1"/>
    <xf numFmtId="0" fontId="0" fillId="2" borderId="12" xfId="0" applyFill="1" applyBorder="1" applyAlignment="1" applyProtection="1">
      <alignment vertical="center"/>
      <protection locked="0"/>
    </xf>
    <xf numFmtId="0" fontId="0" fillId="2" borderId="18" xfId="0" applyFill="1" applyBorder="1" applyAlignment="1" applyProtection="1">
      <alignment horizontal="right"/>
      <protection locked="0"/>
    </xf>
    <xf numFmtId="2" fontId="66" fillId="2" borderId="0" xfId="372" applyNumberFormat="1" applyFont="1" applyFill="1" applyAlignment="1">
      <alignment horizontal="center"/>
    </xf>
    <xf numFmtId="2" fontId="22" fillId="0" borderId="0" xfId="0" applyNumberFormat="1" applyFont="1" applyAlignment="1" applyProtection="1">
      <alignment horizontal="left"/>
      <protection locked="0"/>
    </xf>
    <xf numFmtId="2" fontId="22" fillId="45" borderId="0" xfId="0" applyNumberFormat="1" applyFont="1" applyFill="1" applyAlignment="1" applyProtection="1">
      <alignment horizontal="left"/>
      <protection locked="0"/>
    </xf>
    <xf numFmtId="2" fontId="79" fillId="45" borderId="0" xfId="0" applyNumberFormat="1" applyFont="1" applyFill="1" applyAlignment="1" applyProtection="1">
      <alignment horizontal="left"/>
      <protection locked="0"/>
    </xf>
    <xf numFmtId="0" fontId="14" fillId="0" borderId="0" xfId="0" applyFont="1"/>
    <xf numFmtId="0" fontId="22" fillId="4" borderId="7" xfId="372" applyFill="1" applyBorder="1" applyAlignment="1">
      <alignment horizontal="center"/>
    </xf>
    <xf numFmtId="1" fontId="73" fillId="0" borderId="10" xfId="374" applyNumberFormat="1" applyFont="1" applyBorder="1"/>
    <xf numFmtId="1" fontId="33" fillId="0" borderId="0" xfId="374" applyNumberFormat="1" applyFont="1"/>
    <xf numFmtId="0" fontId="22" fillId="2" borderId="4" xfId="372" applyFill="1" applyBorder="1" applyAlignment="1">
      <alignment horizontal="center"/>
    </xf>
    <xf numFmtId="0" fontId="22" fillId="2" borderId="5" xfId="372" applyFill="1" applyBorder="1" applyAlignment="1">
      <alignment horizontal="center"/>
    </xf>
    <xf numFmtId="0" fontId="22" fillId="2" borderId="5" xfId="372" applyFill="1" applyBorder="1" applyProtection="1">
      <protection locked="0"/>
    </xf>
    <xf numFmtId="0" fontId="22" fillId="2" borderId="6" xfId="372" applyFill="1" applyBorder="1" applyAlignment="1">
      <alignment horizontal="center"/>
    </xf>
    <xf numFmtId="1" fontId="50" fillId="2" borderId="5" xfId="372" applyNumberFormat="1" applyFont="1" applyFill="1" applyBorder="1" applyAlignment="1">
      <alignment horizontal="center"/>
    </xf>
    <xf numFmtId="0" fontId="22" fillId="4" borderId="4" xfId="372" applyFill="1" applyBorder="1" applyAlignment="1">
      <alignment horizontal="center"/>
    </xf>
    <xf numFmtId="0" fontId="22" fillId="4" borderId="5" xfId="372" applyFill="1" applyBorder="1" applyAlignment="1">
      <alignment horizontal="center"/>
    </xf>
    <xf numFmtId="0" fontId="22" fillId="4" borderId="5" xfId="372" applyFill="1" applyBorder="1" applyProtection="1">
      <protection locked="0"/>
    </xf>
    <xf numFmtId="1" fontId="50" fillId="4" borderId="6" xfId="372" applyNumberFormat="1" applyFont="1" applyFill="1" applyBorder="1" applyAlignment="1">
      <alignment horizontal="center"/>
    </xf>
    <xf numFmtId="1" fontId="50" fillId="2" borderId="6" xfId="372" applyNumberFormat="1" applyFont="1" applyFill="1" applyBorder="1" applyAlignment="1">
      <alignment horizontal="center"/>
    </xf>
    <xf numFmtId="1" fontId="50" fillId="4" borderId="5" xfId="372" applyNumberFormat="1" applyFont="1" applyFill="1" applyBorder="1" applyAlignment="1">
      <alignment horizontal="center"/>
    </xf>
    <xf numFmtId="0" fontId="50" fillId="4" borderId="6" xfId="372" applyFont="1" applyFill="1" applyBorder="1" applyAlignment="1">
      <alignment horizontal="center"/>
    </xf>
    <xf numFmtId="0" fontId="50" fillId="2" borderId="6" xfId="372" applyFont="1" applyFill="1" applyBorder="1" applyAlignment="1">
      <alignment horizontal="center"/>
    </xf>
    <xf numFmtId="0" fontId="50" fillId="4" borderId="5" xfId="372" applyFont="1" applyFill="1" applyBorder="1" applyProtection="1">
      <protection locked="0"/>
    </xf>
    <xf numFmtId="1" fontId="32" fillId="2" borderId="46" xfId="372" applyNumberFormat="1" applyFont="1" applyFill="1" applyBorder="1" applyAlignment="1" applyProtection="1">
      <alignment horizontal="right" vertical="top" wrapText="1"/>
      <protection locked="0"/>
    </xf>
    <xf numFmtId="0" fontId="22" fillId="2" borderId="34" xfId="372" applyFill="1" applyBorder="1" applyAlignment="1">
      <alignment horizontal="center"/>
    </xf>
    <xf numFmtId="0" fontId="22" fillId="2" borderId="27" xfId="372" applyFill="1" applyBorder="1" applyAlignment="1">
      <alignment horizontal="center"/>
    </xf>
    <xf numFmtId="0" fontId="22" fillId="2" borderId="27" xfId="372" applyFill="1" applyBorder="1" applyProtection="1">
      <protection locked="0"/>
    </xf>
    <xf numFmtId="1" fontId="50" fillId="2" borderId="19" xfId="372" applyNumberFormat="1" applyFont="1" applyFill="1" applyBorder="1" applyAlignment="1">
      <alignment horizontal="center"/>
    </xf>
    <xf numFmtId="0" fontId="22" fillId="4" borderId="34" xfId="372" applyFill="1" applyBorder="1" applyAlignment="1">
      <alignment horizontal="center"/>
    </xf>
    <xf numFmtId="0" fontId="22" fillId="4" borderId="27" xfId="372" applyFill="1" applyBorder="1" applyAlignment="1">
      <alignment horizontal="center"/>
    </xf>
    <xf numFmtId="0" fontId="50" fillId="4" borderId="27" xfId="372" applyFont="1" applyFill="1" applyBorder="1" applyProtection="1">
      <protection locked="0"/>
    </xf>
    <xf numFmtId="1" fontId="50" fillId="4" borderId="19" xfId="372" applyNumberFormat="1" applyFont="1" applyFill="1" applyBorder="1" applyAlignment="1">
      <alignment horizontal="center"/>
    </xf>
    <xf numFmtId="0" fontId="22" fillId="4" borderId="27" xfId="372" applyFill="1" applyBorder="1" applyProtection="1">
      <protection locked="0"/>
    </xf>
    <xf numFmtId="0" fontId="22" fillId="0" borderId="29" xfId="372" applyBorder="1" applyAlignment="1">
      <alignment horizontal="center"/>
    </xf>
    <xf numFmtId="0" fontId="22" fillId="0" borderId="43" xfId="372" applyBorder="1" applyAlignment="1">
      <alignment horizontal="center"/>
    </xf>
    <xf numFmtId="0" fontId="51" fillId="10" borderId="43" xfId="372" applyFont="1" applyFill="1" applyBorder="1" applyProtection="1">
      <protection locked="0"/>
    </xf>
    <xf numFmtId="1" fontId="22" fillId="10" borderId="44" xfId="372" applyNumberFormat="1" applyFill="1" applyBorder="1" applyProtection="1">
      <protection locked="0"/>
    </xf>
    <xf numFmtId="0" fontId="22" fillId="0" borderId="5" xfId="372" applyBorder="1" applyAlignment="1">
      <alignment horizontal="center" wrapText="1"/>
    </xf>
    <xf numFmtId="0" fontId="55" fillId="0" borderId="27" xfId="372" applyFont="1" applyBorder="1" applyAlignment="1">
      <alignment horizontal="centerContinuous"/>
    </xf>
    <xf numFmtId="0" fontId="55" fillId="0" borderId="11" xfId="372" applyFont="1" applyBorder="1" applyAlignment="1">
      <alignment horizontal="centerContinuous"/>
    </xf>
    <xf numFmtId="0" fontId="54" fillId="0" borderId="38" xfId="372" applyFont="1" applyBorder="1" applyAlignment="1">
      <alignment horizontal="centerContinuous"/>
    </xf>
    <xf numFmtId="167" fontId="55" fillId="0" borderId="38" xfId="372" applyNumberFormat="1" applyFont="1" applyBorder="1" applyAlignment="1">
      <alignment horizontal="centerContinuous"/>
    </xf>
    <xf numFmtId="167" fontId="54" fillId="0" borderId="39" xfId="372" applyNumberFormat="1" applyFont="1" applyBorder="1" applyAlignment="1">
      <alignment horizontal="centerContinuous" vertical="top"/>
    </xf>
    <xf numFmtId="0" fontId="22" fillId="10" borderId="2" xfId="372" applyFill="1" applyBorder="1" applyAlignment="1">
      <alignment horizontal="center"/>
    </xf>
    <xf numFmtId="0" fontId="22" fillId="10" borderId="10" xfId="372" applyFill="1" applyBorder="1" applyAlignment="1">
      <alignment horizontal="center"/>
    </xf>
    <xf numFmtId="0" fontId="22" fillId="10" borderId="54" xfId="372" applyFill="1" applyBorder="1" applyAlignment="1">
      <alignment horizontal="center"/>
    </xf>
    <xf numFmtId="1" fontId="50" fillId="10" borderId="56" xfId="372" applyNumberFormat="1" applyFont="1" applyFill="1" applyBorder="1" applyAlignment="1">
      <alignment horizontal="center"/>
    </xf>
    <xf numFmtId="0" fontId="22" fillId="10" borderId="69" xfId="372" applyFill="1" applyBorder="1" applyAlignment="1">
      <alignment horizontal="center"/>
    </xf>
    <xf numFmtId="0" fontId="22" fillId="10" borderId="71" xfId="372" applyFill="1" applyBorder="1" applyAlignment="1">
      <alignment horizontal="center"/>
    </xf>
    <xf numFmtId="1" fontId="50" fillId="10" borderId="70" xfId="372" applyNumberFormat="1" applyFont="1" applyFill="1" applyBorder="1" applyAlignment="1">
      <alignment horizontal="center"/>
    </xf>
    <xf numFmtId="1" fontId="32" fillId="0" borderId="10" xfId="372" applyNumberFormat="1" applyFont="1" applyBorder="1" applyAlignment="1" applyProtection="1">
      <alignment vertical="top"/>
      <protection locked="0"/>
    </xf>
    <xf numFmtId="0" fontId="22" fillId="10" borderId="73" xfId="372" applyFill="1" applyBorder="1" applyAlignment="1">
      <alignment horizontal="center"/>
    </xf>
    <xf numFmtId="1" fontId="50" fillId="10" borderId="72" xfId="372" applyNumberFormat="1" applyFont="1" applyFill="1" applyBorder="1" applyAlignment="1">
      <alignment horizontal="center"/>
    </xf>
    <xf numFmtId="0" fontId="22" fillId="10" borderId="96" xfId="372" applyFill="1" applyBorder="1" applyAlignment="1">
      <alignment horizontal="center"/>
    </xf>
    <xf numFmtId="0" fontId="22" fillId="10" borderId="50" xfId="372" applyFill="1" applyBorder="1" applyAlignment="1">
      <alignment horizontal="center"/>
    </xf>
    <xf numFmtId="1" fontId="50" fillId="10" borderId="51" xfId="372" applyNumberFormat="1" applyFont="1" applyFill="1" applyBorder="1" applyAlignment="1">
      <alignment horizontal="center"/>
    </xf>
    <xf numFmtId="0" fontId="22" fillId="0" borderId="27" xfId="372" applyBorder="1" applyProtection="1">
      <protection locked="0"/>
    </xf>
    <xf numFmtId="1" fontId="22" fillId="0" borderId="5" xfId="372" applyNumberFormat="1" applyBorder="1" applyAlignment="1">
      <alignment horizontal="center"/>
    </xf>
    <xf numFmtId="0" fontId="22" fillId="0" borderId="4" xfId="372" applyBorder="1" applyAlignment="1">
      <alignment horizontal="center"/>
    </xf>
    <xf numFmtId="1" fontId="22" fillId="0" borderId="6" xfId="372" applyNumberFormat="1" applyBorder="1" applyAlignment="1">
      <alignment horizontal="center"/>
    </xf>
    <xf numFmtId="1" fontId="22" fillId="10" borderId="5" xfId="372" applyNumberFormat="1" applyFill="1" applyBorder="1" applyProtection="1">
      <protection locked="0"/>
    </xf>
    <xf numFmtId="1" fontId="22" fillId="10" borderId="6" xfId="372" applyNumberFormat="1" applyFill="1" applyBorder="1" applyProtection="1">
      <protection locked="0"/>
    </xf>
    <xf numFmtId="0" fontId="22" fillId="0" borderId="5" xfId="372" applyBorder="1" applyAlignment="1" applyProtection="1">
      <alignment horizontal="left" wrapText="1"/>
      <protection locked="0"/>
    </xf>
    <xf numFmtId="0" fontId="22" fillId="0" borderId="5" xfId="372" applyBorder="1" applyAlignment="1">
      <alignment horizontal="left" wrapText="1"/>
    </xf>
    <xf numFmtId="0" fontId="22" fillId="0" borderId="0" xfId="372" applyAlignment="1" applyProtection="1">
      <alignment horizontal="left"/>
      <protection locked="0"/>
    </xf>
    <xf numFmtId="0" fontId="41" fillId="10" borderId="5" xfId="372" applyFont="1" applyFill="1" applyBorder="1" applyAlignment="1">
      <alignment horizontal="left" wrapText="1"/>
    </xf>
    <xf numFmtId="0" fontId="41" fillId="10" borderId="43" xfId="372" applyFont="1" applyFill="1" applyBorder="1" applyAlignment="1">
      <alignment horizontal="left" wrapText="1"/>
    </xf>
    <xf numFmtId="0" fontId="51" fillId="10" borderId="5" xfId="372" applyFont="1" applyFill="1" applyBorder="1" applyAlignment="1" applyProtection="1">
      <alignment horizontal="left" wrapText="1"/>
      <protection locked="0"/>
    </xf>
    <xf numFmtId="0" fontId="30" fillId="0" borderId="4" xfId="373" applyFont="1" applyBorder="1" applyAlignment="1">
      <alignment horizontal="centerContinuous"/>
    </xf>
    <xf numFmtId="0" fontId="31" fillId="0" borderId="5" xfId="373" applyFont="1" applyBorder="1" applyAlignment="1">
      <alignment horizontal="centerContinuous"/>
    </xf>
    <xf numFmtId="167" fontId="26" fillId="0" borderId="5" xfId="373" applyNumberFormat="1" applyFont="1" applyBorder="1" applyAlignment="1">
      <alignment horizontal="centerContinuous"/>
    </xf>
    <xf numFmtId="167" fontId="24" fillId="0" borderId="6" xfId="373" applyNumberFormat="1" applyBorder="1" applyAlignment="1">
      <alignment horizontal="centerContinuous" vertical="top"/>
    </xf>
    <xf numFmtId="0" fontId="30" fillId="0" borderId="5" xfId="373" applyFont="1" applyBorder="1" applyAlignment="1">
      <alignment horizontal="centerContinuous"/>
    </xf>
    <xf numFmtId="1" fontId="30" fillId="0" borderId="4" xfId="373" applyNumberFormat="1" applyFont="1" applyBorder="1" applyAlignment="1">
      <alignment horizontal="centerContinuous"/>
    </xf>
    <xf numFmtId="0" fontId="22" fillId="0" borderId="34" xfId="372" applyBorder="1" applyAlignment="1">
      <alignment horizontal="center"/>
    </xf>
    <xf numFmtId="0" fontId="22" fillId="0" borderId="27" xfId="372" applyBorder="1" applyAlignment="1">
      <alignment horizontal="center"/>
    </xf>
    <xf numFmtId="0" fontId="51" fillId="10" borderId="27" xfId="372" applyFont="1" applyFill="1" applyBorder="1" applyProtection="1">
      <protection locked="0"/>
    </xf>
    <xf numFmtId="0" fontId="22" fillId="0" borderId="27" xfId="372" applyBorder="1" applyAlignment="1" applyProtection="1">
      <alignment horizontal="left" wrapText="1"/>
      <protection locked="0"/>
    </xf>
    <xf numFmtId="1" fontId="22" fillId="10" borderId="19" xfId="372" applyNumberFormat="1" applyFill="1" applyBorder="1" applyProtection="1">
      <protection locked="0"/>
    </xf>
    <xf numFmtId="0" fontId="23" fillId="0" borderId="4" xfId="372" applyFont="1" applyBorder="1" applyAlignment="1">
      <alignment horizontal="centerContinuous"/>
    </xf>
    <xf numFmtId="0" fontId="25" fillId="0" borderId="5" xfId="373" applyFont="1" applyBorder="1" applyAlignment="1">
      <alignment horizontal="centerContinuous"/>
    </xf>
    <xf numFmtId="0" fontId="26" fillId="0" borderId="5" xfId="373" applyFont="1" applyBorder="1" applyAlignment="1">
      <alignment horizontal="centerContinuous"/>
    </xf>
    <xf numFmtId="0" fontId="24" fillId="0" borderId="6" xfId="373" applyBorder="1" applyAlignment="1">
      <alignment horizontal="centerContinuous" vertical="top"/>
    </xf>
    <xf numFmtId="0" fontId="27" fillId="0" borderId="5" xfId="373" applyFont="1" applyBorder="1" applyAlignment="1">
      <alignment horizontal="centerContinuous"/>
    </xf>
    <xf numFmtId="0" fontId="24" fillId="0" borderId="5" xfId="373" applyBorder="1" applyAlignment="1">
      <alignment horizontal="centerContinuous" vertical="top"/>
    </xf>
    <xf numFmtId="0" fontId="7" fillId="5" borderId="9" xfId="0" applyFont="1" applyFill="1" applyBorder="1" applyAlignment="1" applyProtection="1">
      <alignment horizontal="center"/>
      <protection locked="0"/>
    </xf>
    <xf numFmtId="0" fontId="7" fillId="5" borderId="15" xfId="0" applyFont="1" applyFill="1" applyBorder="1" applyAlignment="1" applyProtection="1">
      <alignment horizontal="center"/>
      <protection locked="0"/>
    </xf>
    <xf numFmtId="0" fontId="0" fillId="5" borderId="1" xfId="0" applyFill="1" applyBorder="1" applyAlignment="1">
      <alignment wrapText="1"/>
    </xf>
    <xf numFmtId="2" fontId="61" fillId="3" borderId="1" xfId="372" applyNumberFormat="1" applyFont="1" applyFill="1" applyBorder="1" applyAlignment="1" applyProtection="1">
      <alignment horizontal="center"/>
      <protection locked="0"/>
    </xf>
    <xf numFmtId="2" fontId="61" fillId="0" borderId="1" xfId="372" applyNumberFormat="1" applyFont="1" applyBorder="1" applyAlignment="1" applyProtection="1">
      <alignment horizontal="center"/>
      <protection locked="0"/>
    </xf>
    <xf numFmtId="2" fontId="61" fillId="4" borderId="1" xfId="372" applyNumberFormat="1" applyFont="1" applyFill="1" applyBorder="1" applyAlignment="1">
      <alignment horizontal="center"/>
    </xf>
    <xf numFmtId="2" fontId="61" fillId="4" borderId="16" xfId="372" applyNumberFormat="1" applyFont="1" applyFill="1" applyBorder="1" applyAlignment="1">
      <alignment horizontal="center" vertical="center"/>
    </xf>
    <xf numFmtId="2" fontId="66" fillId="2" borderId="60" xfId="372" applyNumberFormat="1" applyFont="1" applyFill="1" applyBorder="1"/>
    <xf numFmtId="0" fontId="7" fillId="4" borderId="18" xfId="0" applyFont="1" applyFill="1" applyBorder="1" applyAlignment="1">
      <alignment horizontal="center" vertical="center" wrapText="1"/>
    </xf>
    <xf numFmtId="0" fontId="37" fillId="4" borderId="59" xfId="372" applyFont="1" applyFill="1" applyBorder="1" applyAlignment="1">
      <alignment horizontal="center" vertical="center" wrapText="1"/>
    </xf>
    <xf numFmtId="1" fontId="33" fillId="0" borderId="10" xfId="374" applyNumberFormat="1" applyFont="1" applyBorder="1"/>
    <xf numFmtId="1" fontId="34" fillId="0" borderId="10" xfId="372" applyNumberFormat="1" applyFont="1" applyBorder="1" applyAlignment="1">
      <alignment horizontal="center"/>
    </xf>
    <xf numFmtId="1" fontId="17" fillId="0" borderId="0" xfId="0" applyNumberFormat="1" applyFont="1"/>
    <xf numFmtId="0" fontId="137" fillId="0" borderId="0" xfId="374" applyFont="1"/>
    <xf numFmtId="0" fontId="37" fillId="0" borderId="0" xfId="505" applyAlignment="1">
      <alignment horizontal="justify" vertical="justify" wrapText="1"/>
    </xf>
    <xf numFmtId="0" fontId="37" fillId="28" borderId="0" xfId="505" applyFill="1" applyAlignment="1">
      <alignment horizontal="left" vertical="justify" wrapText="1"/>
    </xf>
    <xf numFmtId="0" fontId="62" fillId="0" borderId="0" xfId="505" applyFont="1" applyAlignment="1">
      <alignment horizontal="left" vertical="center" wrapText="1"/>
    </xf>
    <xf numFmtId="0" fontId="24" fillId="0" borderId="0" xfId="505" applyFont="1" applyAlignment="1">
      <alignment horizontal="center"/>
    </xf>
    <xf numFmtId="0" fontId="62" fillId="0" borderId="0" xfId="505" applyFont="1" applyAlignment="1">
      <alignment horizontal="left" wrapText="1"/>
    </xf>
    <xf numFmtId="0" fontId="37" fillId="14" borderId="0" xfId="505" applyFill="1" applyAlignment="1">
      <alignment horizontal="justify" vertical="justify" wrapText="1"/>
    </xf>
    <xf numFmtId="0" fontId="37" fillId="18" borderId="0" xfId="505" applyFill="1" applyAlignment="1">
      <alignment horizontal="justify" vertical="justify" wrapText="1"/>
    </xf>
    <xf numFmtId="0" fontId="0" fillId="0" borderId="0" xfId="0" applyAlignment="1">
      <alignment horizontal="center"/>
    </xf>
    <xf numFmtId="0" fontId="131" fillId="0" borderId="0" xfId="0" applyFont="1" applyAlignment="1">
      <alignment horizontal="center" wrapText="1"/>
    </xf>
    <xf numFmtId="0" fontId="96" fillId="0" borderId="0" xfId="0" applyFont="1" applyAlignment="1">
      <alignment horizontal="left"/>
    </xf>
    <xf numFmtId="0" fontId="0" fillId="0" borderId="0" xfId="0" applyAlignment="1">
      <alignment horizontal="left" wrapText="1"/>
    </xf>
    <xf numFmtId="0" fontId="0" fillId="0" borderId="0" xfId="0" applyAlignment="1">
      <alignment horizontal="left"/>
    </xf>
    <xf numFmtId="0" fontId="96" fillId="0" borderId="0" xfId="0" applyFont="1" applyAlignment="1">
      <alignment horizontal="center"/>
    </xf>
    <xf numFmtId="0" fontId="132" fillId="0" borderId="0" xfId="0" applyFont="1" applyAlignment="1">
      <alignment horizontal="left" wrapText="1"/>
    </xf>
    <xf numFmtId="0" fontId="95" fillId="0" borderId="0" xfId="0" applyFont="1" applyAlignment="1">
      <alignment horizontal="left" wrapText="1"/>
    </xf>
    <xf numFmtId="0" fontId="95" fillId="0" borderId="45" xfId="0" applyFont="1" applyBorder="1" applyAlignment="1">
      <alignment horizontal="left" wrapText="1"/>
    </xf>
    <xf numFmtId="0" fontId="0" fillId="0" borderId="0" xfId="0" applyAlignment="1">
      <alignment horizontal="center" wrapText="1"/>
    </xf>
    <xf numFmtId="0" fontId="0" fillId="0" borderId="45" xfId="0" applyBorder="1" applyAlignment="1">
      <alignment horizontal="center" wrapText="1"/>
    </xf>
    <xf numFmtId="0" fontId="96" fillId="0" borderId="0" xfId="0" applyFont="1" applyAlignment="1">
      <alignment horizontal="left" vertical="center" wrapText="1"/>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49" fontId="0" fillId="3" borderId="4" xfId="0" applyNumberFormat="1" applyFill="1" applyBorder="1" applyAlignment="1" applyProtection="1">
      <alignment horizontal="center"/>
      <protection locked="0"/>
    </xf>
    <xf numFmtId="49" fontId="0" fillId="3" borderId="5" xfId="0" applyNumberFormat="1" applyFill="1" applyBorder="1" applyAlignment="1" applyProtection="1">
      <alignment horizontal="center"/>
      <protection locked="0"/>
    </xf>
    <xf numFmtId="49" fontId="0" fillId="3" borderId="40" xfId="0" applyNumberFormat="1" applyFill="1" applyBorder="1" applyAlignment="1" applyProtection="1">
      <alignment horizontal="center"/>
      <protection locked="0"/>
    </xf>
    <xf numFmtId="0" fontId="89" fillId="31" borderId="37" xfId="0" applyFont="1" applyFill="1" applyBorder="1" applyAlignment="1">
      <alignment horizontal="left"/>
    </xf>
    <xf numFmtId="0" fontId="89" fillId="31" borderId="38" xfId="0" applyFont="1" applyFill="1" applyBorder="1" applyAlignment="1">
      <alignment horizontal="left"/>
    </xf>
    <xf numFmtId="0" fontId="89" fillId="31" borderId="39" xfId="0" applyFont="1" applyFill="1" applyBorder="1" applyAlignment="1">
      <alignment horizontal="left"/>
    </xf>
    <xf numFmtId="0" fontId="0" fillId="2" borderId="1" xfId="0" applyFill="1" applyBorder="1" applyAlignment="1">
      <alignment horizontal="left" wrapText="1"/>
    </xf>
    <xf numFmtId="0" fontId="0" fillId="5" borderId="4"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0" fontId="100" fillId="31" borderId="61" xfId="0" applyFont="1" applyFill="1" applyBorder="1" applyAlignment="1">
      <alignment horizontal="center" vertical="center" textRotation="90"/>
    </xf>
    <xf numFmtId="0" fontId="100" fillId="31" borderId="46" xfId="0" applyFont="1" applyFill="1" applyBorder="1" applyAlignment="1">
      <alignment horizontal="center" vertical="center" textRotation="90"/>
    </xf>
    <xf numFmtId="0" fontId="7" fillId="5" borderId="34" xfId="0" applyFont="1" applyFill="1" applyBorder="1" applyAlignment="1">
      <alignment horizontal="left" wrapText="1"/>
    </xf>
    <xf numFmtId="0" fontId="7" fillId="5" borderId="27" xfId="0" applyFont="1" applyFill="1" applyBorder="1" applyAlignment="1">
      <alignment horizontal="left" wrapText="1"/>
    </xf>
    <xf numFmtId="0" fontId="7" fillId="5" borderId="75" xfId="0" applyFont="1" applyFill="1" applyBorder="1" applyAlignment="1">
      <alignment horizontal="left" wrapText="1"/>
    </xf>
    <xf numFmtId="0" fontId="0" fillId="5" borderId="1" xfId="0" applyFill="1" applyBorder="1" applyAlignment="1">
      <alignment horizontal="left" wrapText="1"/>
    </xf>
    <xf numFmtId="0" fontId="7" fillId="3" borderId="4" xfId="0" applyFont="1" applyFill="1" applyBorder="1" applyAlignment="1" applyProtection="1">
      <alignment horizontal="center" wrapText="1"/>
      <protection locked="0"/>
    </xf>
    <xf numFmtId="0" fontId="7" fillId="3" borderId="5" xfId="0" applyFont="1" applyFill="1" applyBorder="1" applyAlignment="1" applyProtection="1">
      <alignment horizontal="center" wrapText="1"/>
      <protection locked="0"/>
    </xf>
    <xf numFmtId="0" fontId="7" fillId="3" borderId="40" xfId="0" applyFont="1" applyFill="1" applyBorder="1" applyAlignment="1" applyProtection="1">
      <alignment horizontal="center" wrapText="1"/>
      <protection locked="0"/>
    </xf>
    <xf numFmtId="0" fontId="99" fillId="31" borderId="67" xfId="0" applyFont="1" applyFill="1" applyBorder="1" applyAlignment="1">
      <alignment horizontal="center" vertical="center" textRotation="90"/>
    </xf>
    <xf numFmtId="0" fontId="99" fillId="31" borderId="68" xfId="0" applyFont="1" applyFill="1" applyBorder="1" applyAlignment="1">
      <alignment horizontal="center" vertical="center" textRotation="90"/>
    </xf>
    <xf numFmtId="0" fontId="99" fillId="31" borderId="66" xfId="0" applyFont="1" applyFill="1" applyBorder="1" applyAlignment="1">
      <alignment horizontal="center" vertical="center" textRotation="90"/>
    </xf>
    <xf numFmtId="165" fontId="0" fillId="3" borderId="4" xfId="0" applyNumberFormat="1" applyFill="1" applyBorder="1" applyAlignment="1" applyProtection="1">
      <alignment horizontal="center"/>
      <protection locked="0"/>
    </xf>
    <xf numFmtId="165" fontId="0" fillId="3" borderId="5" xfId="0" applyNumberFormat="1" applyFill="1" applyBorder="1" applyAlignment="1" applyProtection="1">
      <alignment horizontal="center"/>
      <protection locked="0"/>
    </xf>
    <xf numFmtId="165" fontId="0" fillId="3" borderId="40" xfId="0" applyNumberFormat="1" applyFill="1" applyBorder="1" applyAlignment="1" applyProtection="1">
      <alignment horizontal="center"/>
      <protection locked="0"/>
    </xf>
    <xf numFmtId="0" fontId="0" fillId="5" borderId="3" xfId="0" applyFill="1" applyBorder="1" applyAlignment="1">
      <alignment horizontal="left" wrapText="1"/>
    </xf>
    <xf numFmtId="0" fontId="0" fillId="5" borderId="0" xfId="0" applyFill="1" applyAlignment="1">
      <alignment horizontal="left" wrapText="1"/>
    </xf>
    <xf numFmtId="0" fontId="0" fillId="5" borderId="78" xfId="0" applyFill="1" applyBorder="1" applyAlignment="1">
      <alignment horizontal="left" wrapText="1"/>
    </xf>
    <xf numFmtId="0" fontId="7" fillId="5" borderId="2" xfId="0" applyFont="1" applyFill="1" applyBorder="1" applyAlignment="1">
      <alignment horizontal="left"/>
    </xf>
    <xf numFmtId="0" fontId="7" fillId="5" borderId="10" xfId="0" applyFont="1" applyFill="1" applyBorder="1" applyAlignment="1">
      <alignment horizontal="left"/>
    </xf>
    <xf numFmtId="0" fontId="7" fillId="5" borderId="77" xfId="0" applyFont="1" applyFill="1" applyBorder="1" applyAlignment="1">
      <alignment horizontal="left"/>
    </xf>
    <xf numFmtId="165" fontId="0" fillId="5" borderId="4" xfId="0" applyNumberFormat="1" applyFill="1" applyBorder="1" applyAlignment="1">
      <alignment horizontal="center"/>
    </xf>
    <xf numFmtId="165" fontId="0" fillId="5" borderId="5" xfId="0" applyNumberFormat="1" applyFill="1" applyBorder="1" applyAlignment="1">
      <alignment horizontal="center"/>
    </xf>
    <xf numFmtId="165" fontId="0" fillId="5" borderId="40" xfId="0" applyNumberFormat="1" applyFill="1" applyBorder="1" applyAlignment="1">
      <alignment horizontal="center"/>
    </xf>
    <xf numFmtId="0" fontId="92" fillId="0" borderId="24" xfId="0" applyFont="1" applyBorder="1" applyAlignment="1">
      <alignment horizontal="center" vertical="center"/>
    </xf>
    <xf numFmtId="0" fontId="11" fillId="6" borderId="37" xfId="0" applyFont="1" applyFill="1" applyBorder="1" applyAlignment="1" applyProtection="1">
      <alignment horizontal="center"/>
      <protection locked="0"/>
    </xf>
    <xf numFmtId="0" fontId="11" fillId="6" borderId="38" xfId="0" applyFont="1" applyFill="1" applyBorder="1" applyAlignment="1" applyProtection="1">
      <alignment horizontal="center"/>
      <protection locked="0"/>
    </xf>
    <xf numFmtId="0" fontId="11" fillId="6" borderId="39" xfId="0" applyFont="1" applyFill="1" applyBorder="1" applyAlignment="1" applyProtection="1">
      <alignment horizontal="center"/>
      <protection locked="0"/>
    </xf>
    <xf numFmtId="0" fontId="0" fillId="5" borderId="1" xfId="0" applyFill="1" applyBorder="1" applyAlignment="1">
      <alignment horizontal="left"/>
    </xf>
    <xf numFmtId="0" fontId="0" fillId="3" borderId="4"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5" borderId="2" xfId="0" applyFill="1" applyBorder="1" applyAlignment="1">
      <alignment horizontal="left" vertical="center" wrapText="1"/>
    </xf>
    <xf numFmtId="0" fontId="0" fillId="5" borderId="10" xfId="0" applyFill="1" applyBorder="1" applyAlignment="1">
      <alignment horizontal="left" vertical="center" wrapText="1"/>
    </xf>
    <xf numFmtId="0" fontId="0" fillId="5" borderId="7" xfId="0" applyFill="1" applyBorder="1" applyAlignment="1">
      <alignment horizontal="left" vertical="center" wrapText="1"/>
    </xf>
    <xf numFmtId="0" fontId="0" fillId="5" borderId="3" xfId="0" applyFill="1" applyBorder="1" applyAlignment="1">
      <alignment horizontal="left" vertical="center" wrapText="1"/>
    </xf>
    <xf numFmtId="0" fontId="0" fillId="5" borderId="0" xfId="0" applyFill="1" applyAlignment="1">
      <alignment horizontal="left" vertical="center" wrapText="1"/>
    </xf>
    <xf numFmtId="0" fontId="0" fillId="5" borderId="46" xfId="0" applyFill="1" applyBorder="1" applyAlignment="1">
      <alignment horizontal="left" vertical="center" wrapText="1"/>
    </xf>
    <xf numFmtId="0" fontId="0" fillId="5" borderId="34" xfId="0" applyFill="1" applyBorder="1" applyAlignment="1">
      <alignment horizontal="left" vertical="center" wrapText="1"/>
    </xf>
    <xf numFmtId="0" fontId="0" fillId="5" borderId="27" xfId="0" applyFill="1" applyBorder="1" applyAlignment="1">
      <alignment horizontal="left" vertical="center" wrapText="1"/>
    </xf>
    <xf numFmtId="0" fontId="0" fillId="5" borderId="19" xfId="0" applyFill="1" applyBorder="1" applyAlignment="1">
      <alignment horizontal="left" vertical="center"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0" xfId="0" applyFill="1" applyBorder="1" applyAlignment="1" applyProtection="1">
      <alignment horizontal="center"/>
      <protection locked="0"/>
    </xf>
    <xf numFmtId="0" fontId="0" fillId="4" borderId="4" xfId="0" applyFill="1" applyBorder="1" applyAlignment="1">
      <alignment horizontal="center"/>
    </xf>
    <xf numFmtId="0" fontId="0" fillId="4" borderId="6" xfId="0" applyFill="1" applyBorder="1" applyAlignment="1">
      <alignment horizontal="center"/>
    </xf>
    <xf numFmtId="0" fontId="0" fillId="4" borderId="40" xfId="0" applyFill="1" applyBorder="1" applyAlignment="1">
      <alignment horizontal="center"/>
    </xf>
    <xf numFmtId="49" fontId="0" fillId="3" borderId="6" xfId="0" applyNumberFormat="1" applyFill="1" applyBorder="1" applyAlignment="1" applyProtection="1">
      <alignment horizontal="center"/>
      <protection locked="0"/>
    </xf>
    <xf numFmtId="0" fontId="7" fillId="3" borderId="42" xfId="0" applyFont="1" applyFill="1" applyBorder="1" applyAlignment="1" applyProtection="1">
      <alignment horizontal="center" wrapText="1"/>
      <protection locked="0"/>
    </xf>
    <xf numFmtId="0" fontId="7" fillId="3" borderId="43" xfId="0" applyFont="1" applyFill="1" applyBorder="1" applyAlignment="1" applyProtection="1">
      <alignment horizontal="center" wrapText="1"/>
      <protection locked="0"/>
    </xf>
    <xf numFmtId="0" fontId="7" fillId="3" borderId="44" xfId="0" applyFont="1" applyFill="1" applyBorder="1" applyAlignment="1" applyProtection="1">
      <alignment horizontal="center" wrapText="1"/>
      <protection locked="0"/>
    </xf>
    <xf numFmtId="0" fontId="78" fillId="2" borderId="4" xfId="0" applyFont="1" applyFill="1" applyBorder="1" applyAlignment="1" applyProtection="1">
      <alignment horizontal="left" vertical="center"/>
      <protection locked="0"/>
    </xf>
    <xf numFmtId="0" fontId="78" fillId="2" borderId="6" xfId="0" applyFont="1" applyFill="1" applyBorder="1" applyAlignment="1" applyProtection="1">
      <alignment horizontal="left" vertical="center"/>
      <protection locked="0"/>
    </xf>
    <xf numFmtId="0" fontId="78" fillId="2" borderId="13" xfId="0" applyFont="1" applyFill="1" applyBorder="1" applyAlignment="1" applyProtection="1">
      <alignment horizontal="left" vertical="center"/>
      <protection locked="0"/>
    </xf>
    <xf numFmtId="0" fontId="78" fillId="2" borderId="5" xfId="0" applyFont="1" applyFill="1" applyBorder="1" applyAlignment="1" applyProtection="1">
      <alignment horizontal="left" vertical="center"/>
      <protection locked="0"/>
    </xf>
    <xf numFmtId="0" fontId="0" fillId="5" borderId="5" xfId="0" applyFill="1" applyBorder="1" applyAlignment="1">
      <alignment horizontal="left" vertical="center"/>
    </xf>
    <xf numFmtId="0" fontId="7" fillId="4" borderId="12" xfId="0" applyFont="1" applyFill="1" applyBorder="1" applyAlignment="1">
      <alignment horizontal="center" vertical="center" wrapText="1"/>
    </xf>
    <xf numFmtId="0" fontId="17" fillId="31" borderId="5" xfId="0" applyFont="1" applyFill="1" applyBorder="1" applyAlignment="1">
      <alignment horizontal="center"/>
    </xf>
    <xf numFmtId="0" fontId="17" fillId="31" borderId="40" xfId="0" applyFont="1" applyFill="1" applyBorder="1" applyAlignment="1">
      <alignment horizontal="center"/>
    </xf>
    <xf numFmtId="0" fontId="0" fillId="5" borderId="13" xfId="0" applyFill="1" applyBorder="1" applyAlignment="1">
      <alignment horizontal="center"/>
    </xf>
    <xf numFmtId="0" fontId="0" fillId="5" borderId="6" xfId="0" applyFill="1" applyBorder="1" applyAlignment="1">
      <alignment horizontal="center"/>
    </xf>
    <xf numFmtId="166" fontId="0" fillId="8" borderId="4" xfId="0" applyNumberFormat="1" applyFill="1" applyBorder="1" applyAlignment="1">
      <alignment horizontal="center" wrapText="1"/>
    </xf>
    <xf numFmtId="166" fontId="0" fillId="8" borderId="5" xfId="0" applyNumberFormat="1" applyFill="1" applyBorder="1" applyAlignment="1">
      <alignment horizontal="center" wrapText="1"/>
    </xf>
    <xf numFmtId="166" fontId="0" fillId="8" borderId="40" xfId="0" applyNumberFormat="1" applyFill="1" applyBorder="1" applyAlignment="1">
      <alignment horizontal="center" wrapText="1"/>
    </xf>
    <xf numFmtId="0" fontId="71" fillId="4" borderId="13" xfId="0" applyFont="1" applyFill="1" applyBorder="1" applyAlignment="1">
      <alignment horizontal="left" wrapText="1"/>
    </xf>
    <xf numFmtId="0" fontId="71" fillId="4" borderId="5" xfId="0" applyFont="1" applyFill="1" applyBorder="1" applyAlignment="1">
      <alignment horizontal="left" wrapText="1"/>
    </xf>
    <xf numFmtId="0" fontId="71" fillId="4" borderId="40" xfId="0" applyFont="1" applyFill="1" applyBorder="1" applyAlignment="1">
      <alignment horizontal="left" wrapText="1"/>
    </xf>
    <xf numFmtId="49" fontId="15" fillId="3" borderId="5" xfId="0" applyNumberFormat="1" applyFont="1" applyFill="1" applyBorder="1" applyAlignment="1" applyProtection="1">
      <alignment horizontal="center"/>
      <protection locked="0"/>
    </xf>
    <xf numFmtId="49" fontId="15" fillId="3" borderId="40" xfId="0" applyNumberFormat="1" applyFont="1" applyFill="1" applyBorder="1" applyAlignment="1" applyProtection="1">
      <alignment horizontal="center"/>
      <protection locked="0"/>
    </xf>
    <xf numFmtId="0" fontId="87" fillId="31" borderId="13" xfId="0" applyFont="1" applyFill="1" applyBorder="1" applyAlignment="1">
      <alignment horizontal="center"/>
    </xf>
    <xf numFmtId="0" fontId="87" fillId="31" borderId="5" xfId="0" applyFont="1" applyFill="1" applyBorder="1" applyAlignment="1">
      <alignment horizontal="center"/>
    </xf>
    <xf numFmtId="0" fontId="0" fillId="5" borderId="27" xfId="0" applyFill="1" applyBorder="1" applyAlignment="1">
      <alignment horizontal="left" vertical="center"/>
    </xf>
    <xf numFmtId="0" fontId="97" fillId="31" borderId="36" xfId="0" applyFont="1" applyFill="1" applyBorder="1" applyAlignment="1">
      <alignment horizontal="center" vertical="center" wrapText="1"/>
    </xf>
    <xf numFmtId="0" fontId="97" fillId="31" borderId="60" xfId="0" applyFont="1" applyFill="1" applyBorder="1" applyAlignment="1">
      <alignment horizontal="center" vertical="center" wrapText="1"/>
    </xf>
    <xf numFmtId="0" fontId="97" fillId="31" borderId="65" xfId="0" applyFont="1" applyFill="1" applyBorder="1" applyAlignment="1">
      <alignment horizontal="center" vertical="center" wrapText="1"/>
    </xf>
    <xf numFmtId="0" fontId="78" fillId="4" borderId="62" xfId="0" applyFont="1" applyFill="1" applyBorder="1" applyAlignment="1">
      <alignment horizontal="left" vertical="center" wrapText="1"/>
    </xf>
    <xf numFmtId="0" fontId="78" fillId="4" borderId="27" xfId="0" applyFont="1" applyFill="1" applyBorder="1" applyAlignment="1">
      <alignment horizontal="left" vertical="center" wrapText="1"/>
    </xf>
    <xf numFmtId="0" fontId="78" fillId="4" borderId="19" xfId="0" applyFont="1" applyFill="1" applyBorder="1" applyAlignment="1">
      <alignment horizontal="left" vertical="center" wrapText="1"/>
    </xf>
    <xf numFmtId="0" fontId="87" fillId="31" borderId="11" xfId="0" applyFont="1" applyFill="1" applyBorder="1" applyAlignment="1">
      <alignment horizontal="center"/>
    </xf>
    <xf numFmtId="0" fontId="87" fillId="31" borderId="38" xfId="0" applyFont="1" applyFill="1" applyBorder="1" applyAlignment="1">
      <alignment horizontal="center"/>
    </xf>
    <xf numFmtId="0" fontId="87" fillId="31" borderId="39" xfId="0" applyFont="1" applyFill="1" applyBorder="1" applyAlignment="1">
      <alignment horizontal="center"/>
    </xf>
    <xf numFmtId="0" fontId="87" fillId="31" borderId="13" xfId="0" applyFont="1" applyFill="1" applyBorder="1" applyAlignment="1">
      <alignment horizontal="left"/>
    </xf>
    <xf numFmtId="0" fontId="87" fillId="31" borderId="5" xfId="0" applyFont="1" applyFill="1" applyBorder="1" applyAlignment="1">
      <alignment horizontal="left"/>
    </xf>
    <xf numFmtId="0" fontId="97" fillId="31" borderId="41" xfId="0" applyFont="1" applyFill="1" applyBorder="1" applyAlignment="1">
      <alignment horizontal="center" vertical="center" wrapText="1"/>
    </xf>
    <xf numFmtId="0" fontId="97" fillId="31" borderId="45" xfId="0" applyFont="1" applyFill="1" applyBorder="1" applyAlignment="1">
      <alignment horizontal="center" vertical="center" wrapText="1"/>
    </xf>
    <xf numFmtId="0" fontId="97" fillId="31" borderId="76" xfId="0" applyFont="1" applyFill="1" applyBorder="1" applyAlignment="1">
      <alignment horizontal="center" vertical="center" wrapText="1"/>
    </xf>
    <xf numFmtId="0" fontId="93" fillId="0" borderId="60" xfId="0" applyFont="1" applyBorder="1" applyAlignment="1">
      <alignment horizontal="left" vertical="center" wrapText="1"/>
    </xf>
    <xf numFmtId="0" fontId="93" fillId="0" borderId="0" xfId="0" applyFont="1" applyAlignment="1">
      <alignment horizontal="left" vertical="center" wrapText="1"/>
    </xf>
    <xf numFmtId="0" fontId="93" fillId="0" borderId="0" xfId="0" applyFont="1" applyAlignment="1">
      <alignment horizontal="center" vertical="center"/>
    </xf>
    <xf numFmtId="0" fontId="93" fillId="0" borderId="0" xfId="0" applyFont="1" applyAlignment="1">
      <alignment horizontal="center" vertical="center" wrapText="1"/>
    </xf>
    <xf numFmtId="0" fontId="95" fillId="0" borderId="0" xfId="0" applyFont="1" applyAlignment="1">
      <alignment horizontal="left" vertical="center" wrapText="1"/>
    </xf>
    <xf numFmtId="0" fontId="0" fillId="5" borderId="2" xfId="0" applyFill="1" applyBorder="1" applyAlignment="1">
      <alignment horizontal="left"/>
    </xf>
    <xf numFmtId="0" fontId="0" fillId="5" borderId="10" xfId="0" applyFill="1" applyBorder="1" applyAlignment="1">
      <alignment horizontal="left"/>
    </xf>
    <xf numFmtId="0" fontId="0" fillId="5" borderId="4" xfId="0" applyFill="1" applyBorder="1" applyAlignment="1">
      <alignment horizontal="left" vertical="center"/>
    </xf>
    <xf numFmtId="0" fontId="0" fillId="5" borderId="34" xfId="0" applyFill="1" applyBorder="1" applyAlignment="1">
      <alignment horizontal="left" vertical="center"/>
    </xf>
    <xf numFmtId="0" fontId="37" fillId="4" borderId="13" xfId="372" applyFont="1" applyFill="1" applyBorder="1" applyAlignment="1">
      <alignment horizontal="left" vertical="center" wrapText="1"/>
    </xf>
    <xf numFmtId="0" fontId="37" fillId="4" borderId="5" xfId="372" applyFont="1" applyFill="1" applyBorder="1" applyAlignment="1">
      <alignment horizontal="left" vertical="center" wrapText="1"/>
    </xf>
    <xf numFmtId="0" fontId="37" fillId="4" borderId="40" xfId="372" applyFont="1" applyFill="1" applyBorder="1" applyAlignment="1">
      <alignment horizontal="left" vertical="center" wrapText="1"/>
    </xf>
    <xf numFmtId="0" fontId="128" fillId="45" borderId="13" xfId="0" applyFont="1" applyFill="1" applyBorder="1" applyAlignment="1" applyProtection="1">
      <alignment horizontal="left"/>
      <protection locked="0"/>
    </xf>
    <xf numFmtId="0" fontId="128" fillId="45" borderId="5" xfId="0" applyFont="1" applyFill="1" applyBorder="1" applyAlignment="1" applyProtection="1">
      <alignment horizontal="left"/>
      <protection locked="0"/>
    </xf>
    <xf numFmtId="0" fontId="128" fillId="45" borderId="6" xfId="0" applyFont="1" applyFill="1" applyBorder="1" applyAlignment="1" applyProtection="1">
      <alignment horizontal="left"/>
      <protection locked="0"/>
    </xf>
    <xf numFmtId="0" fontId="61" fillId="2" borderId="4" xfId="372" applyFont="1" applyFill="1" applyBorder="1" applyAlignment="1" applyProtection="1">
      <alignment horizontal="center"/>
      <protection locked="0"/>
    </xf>
    <xf numFmtId="0" fontId="61" fillId="2" borderId="5" xfId="372" applyFont="1" applyFill="1" applyBorder="1" applyAlignment="1" applyProtection="1">
      <alignment horizontal="center"/>
      <protection locked="0"/>
    </xf>
    <xf numFmtId="0" fontId="61" fillId="2" borderId="40" xfId="372" applyFont="1" applyFill="1" applyBorder="1" applyAlignment="1" applyProtection="1">
      <alignment horizontal="center"/>
      <protection locked="0"/>
    </xf>
    <xf numFmtId="0" fontId="129" fillId="46" borderId="29" xfId="0" applyFont="1" applyFill="1" applyBorder="1" applyAlignment="1">
      <alignment horizontal="left"/>
    </xf>
    <xf numFmtId="0" fontId="129" fillId="46" borderId="43" xfId="0" applyFont="1" applyFill="1" applyBorder="1" applyAlignment="1">
      <alignment horizontal="left"/>
    </xf>
    <xf numFmtId="0" fontId="129" fillId="46" borderId="94" xfId="0" applyFont="1" applyFill="1" applyBorder="1" applyAlignment="1">
      <alignment horizontal="left"/>
    </xf>
    <xf numFmtId="2" fontId="129" fillId="46" borderId="95" xfId="0" applyNumberFormat="1" applyFont="1" applyFill="1" applyBorder="1" applyAlignment="1">
      <alignment horizontal="center"/>
    </xf>
    <xf numFmtId="2" fontId="129" fillId="46" borderId="43" xfId="0" applyNumberFormat="1" applyFont="1" applyFill="1" applyBorder="1" applyAlignment="1">
      <alignment horizontal="center"/>
    </xf>
    <xf numFmtId="2" fontId="129" fillId="46" borderId="44" xfId="0" applyNumberFormat="1" applyFont="1" applyFill="1" applyBorder="1" applyAlignment="1">
      <alignment horizontal="center"/>
    </xf>
    <xf numFmtId="0" fontId="130" fillId="40" borderId="13" xfId="0" applyFont="1" applyFill="1" applyBorder="1" applyAlignment="1">
      <alignment horizontal="left"/>
    </xf>
    <xf numFmtId="0" fontId="130" fillId="40" borderId="5" xfId="0" applyFont="1" applyFill="1" applyBorder="1" applyAlignment="1">
      <alignment horizontal="left"/>
    </xf>
    <xf numFmtId="0" fontId="130" fillId="40" borderId="40" xfId="0" applyFont="1" applyFill="1" applyBorder="1" applyAlignment="1">
      <alignment horizontal="left"/>
    </xf>
    <xf numFmtId="0" fontId="128" fillId="40" borderId="13" xfId="0" applyFont="1" applyFill="1" applyBorder="1" applyAlignment="1">
      <alignment horizontal="left"/>
    </xf>
    <xf numFmtId="0" fontId="128" fillId="40" borderId="5" xfId="0" applyFont="1" applyFill="1" applyBorder="1" applyAlignment="1">
      <alignment horizontal="left"/>
    </xf>
    <xf numFmtId="0" fontId="128" fillId="40" borderId="6" xfId="0" applyFont="1" applyFill="1" applyBorder="1" applyAlignment="1">
      <alignment horizontal="left"/>
    </xf>
    <xf numFmtId="2" fontId="128" fillId="40" borderId="4" xfId="0" applyNumberFormat="1" applyFont="1" applyFill="1" applyBorder="1" applyAlignment="1">
      <alignment horizontal="center"/>
    </xf>
    <xf numFmtId="2" fontId="128" fillId="40" borderId="5" xfId="0" applyNumberFormat="1" applyFont="1" applyFill="1" applyBorder="1" applyAlignment="1">
      <alignment horizontal="center"/>
    </xf>
    <xf numFmtId="2" fontId="128" fillId="40" borderId="40" xfId="0" applyNumberFormat="1" applyFont="1" applyFill="1" applyBorder="1" applyAlignment="1">
      <alignment horizontal="center"/>
    </xf>
    <xf numFmtId="0" fontId="61" fillId="2" borderId="1" xfId="372" applyFont="1" applyFill="1" applyBorder="1" applyAlignment="1" applyProtection="1">
      <alignment horizontal="center"/>
      <protection locked="0"/>
    </xf>
    <xf numFmtId="0" fontId="61" fillId="2" borderId="14" xfId="372" applyFont="1" applyFill="1" applyBorder="1" applyAlignment="1" applyProtection="1">
      <alignment horizontal="center"/>
      <protection locked="0"/>
    </xf>
    <xf numFmtId="0" fontId="90" fillId="0" borderId="33" xfId="372" applyFont="1" applyBorder="1" applyAlignment="1">
      <alignment horizontal="center" vertical="center" wrapText="1"/>
    </xf>
    <xf numFmtId="0" fontId="90" fillId="0" borderId="0" xfId="372" applyFont="1" applyAlignment="1">
      <alignment horizontal="center" vertical="center" wrapText="1"/>
    </xf>
    <xf numFmtId="0" fontId="90" fillId="0" borderId="46" xfId="372" applyFont="1" applyBorder="1" applyAlignment="1">
      <alignment horizontal="center" vertical="center" wrapText="1"/>
    </xf>
    <xf numFmtId="0" fontId="90" fillId="0" borderId="62" xfId="372" applyFont="1" applyBorder="1" applyAlignment="1">
      <alignment horizontal="center" vertical="center" wrapText="1"/>
    </xf>
    <xf numFmtId="0" fontId="90" fillId="0" borderId="27" xfId="372" applyFont="1" applyBorder="1" applyAlignment="1">
      <alignment horizontal="center" vertical="center" wrapText="1"/>
    </xf>
    <xf numFmtId="0" fontId="90" fillId="0" borderId="19" xfId="372" applyFont="1" applyBorder="1" applyAlignment="1">
      <alignment horizontal="center" vertical="center" wrapText="1"/>
    </xf>
    <xf numFmtId="2" fontId="65" fillId="39" borderId="4" xfId="372" applyNumberFormat="1" applyFont="1" applyFill="1" applyBorder="1" applyAlignment="1">
      <alignment horizontal="center"/>
    </xf>
    <xf numFmtId="2" fontId="65" fillId="39" borderId="5" xfId="372" applyNumberFormat="1" applyFont="1" applyFill="1" applyBorder="1" applyAlignment="1">
      <alignment horizontal="center"/>
    </xf>
    <xf numFmtId="2" fontId="65" fillId="39" borderId="40" xfId="372" applyNumberFormat="1" applyFont="1" applyFill="1" applyBorder="1" applyAlignment="1">
      <alignment horizontal="center"/>
    </xf>
    <xf numFmtId="0" fontId="65" fillId="39" borderId="13" xfId="372" applyFont="1" applyFill="1" applyBorder="1" applyAlignment="1">
      <alignment horizontal="left"/>
    </xf>
    <xf numFmtId="0" fontId="65" fillId="39" borderId="5" xfId="372" applyFont="1" applyFill="1" applyBorder="1" applyAlignment="1">
      <alignment horizontal="left"/>
    </xf>
    <xf numFmtId="0" fontId="65" fillId="39" borderId="6" xfId="372" applyFont="1" applyFill="1" applyBorder="1" applyAlignment="1">
      <alignment horizontal="left"/>
    </xf>
    <xf numFmtId="2" fontId="66" fillId="30" borderId="16" xfId="372" applyNumberFormat="1" applyFont="1" applyFill="1" applyBorder="1" applyAlignment="1">
      <alignment horizontal="center"/>
    </xf>
    <xf numFmtId="2" fontId="66" fillId="30" borderId="42" xfId="372" applyNumberFormat="1" applyFont="1" applyFill="1" applyBorder="1" applyAlignment="1">
      <alignment horizontal="center"/>
    </xf>
    <xf numFmtId="2" fontId="66" fillId="30" borderId="17" xfId="372" applyNumberFormat="1" applyFont="1" applyFill="1" applyBorder="1" applyAlignment="1">
      <alignment horizontal="center"/>
    </xf>
    <xf numFmtId="0" fontId="80" fillId="4" borderId="58" xfId="372" applyFont="1" applyFill="1" applyBorder="1" applyAlignment="1">
      <alignment horizontal="center" vertical="center" wrapText="1"/>
    </xf>
    <xf numFmtId="0" fontId="80" fillId="4" borderId="59" xfId="372" applyFont="1" applyFill="1" applyBorder="1" applyAlignment="1">
      <alignment horizontal="center" vertical="center" wrapText="1"/>
    </xf>
    <xf numFmtId="0" fontId="80" fillId="4" borderId="52" xfId="372" applyFont="1" applyFill="1" applyBorder="1" applyAlignment="1">
      <alignment horizontal="center" vertical="center" wrapText="1"/>
    </xf>
    <xf numFmtId="0" fontId="22" fillId="41" borderId="13" xfId="0" applyFont="1" applyFill="1" applyBorder="1" applyAlignment="1">
      <alignment horizontal="left"/>
    </xf>
    <xf numFmtId="0" fontId="22" fillId="41" borderId="5" xfId="0" applyFont="1" applyFill="1" applyBorder="1" applyAlignment="1">
      <alignment horizontal="left"/>
    </xf>
    <xf numFmtId="0" fontId="22" fillId="41" borderId="6" xfId="0" applyFont="1" applyFill="1" applyBorder="1" applyAlignment="1">
      <alignment horizontal="left"/>
    </xf>
    <xf numFmtId="2" fontId="22" fillId="41" borderId="4" xfId="0" applyNumberFormat="1" applyFont="1" applyFill="1" applyBorder="1" applyAlignment="1">
      <alignment horizontal="center"/>
    </xf>
    <xf numFmtId="2" fontId="22" fillId="41" borderId="5" xfId="0" applyNumberFormat="1" applyFont="1" applyFill="1" applyBorder="1" applyAlignment="1">
      <alignment horizontal="center"/>
    </xf>
    <xf numFmtId="2" fontId="22" fillId="41" borderId="40" xfId="0" applyNumberFormat="1" applyFont="1" applyFill="1" applyBorder="1" applyAlignment="1">
      <alignment horizontal="center"/>
    </xf>
    <xf numFmtId="0" fontId="128" fillId="42" borderId="13" xfId="0" applyFont="1" applyFill="1" applyBorder="1" applyAlignment="1">
      <alignment horizontal="left"/>
    </xf>
    <xf numFmtId="0" fontId="128" fillId="42" borderId="5" xfId="0" applyFont="1" applyFill="1" applyBorder="1" applyAlignment="1">
      <alignment horizontal="left"/>
    </xf>
    <xf numFmtId="0" fontId="128" fillId="42" borderId="6" xfId="0" applyFont="1" applyFill="1" applyBorder="1" applyAlignment="1">
      <alignment horizontal="left"/>
    </xf>
    <xf numFmtId="2" fontId="128" fillId="42" borderId="4" xfId="0" applyNumberFormat="1" applyFont="1" applyFill="1" applyBorder="1" applyAlignment="1">
      <alignment horizontal="center"/>
    </xf>
    <xf numFmtId="2" fontId="128" fillId="42" borderId="5" xfId="0" applyNumberFormat="1" applyFont="1" applyFill="1" applyBorder="1" applyAlignment="1">
      <alignment horizontal="center"/>
    </xf>
    <xf numFmtId="2" fontId="128" fillId="42" borderId="40" xfId="0" applyNumberFormat="1" applyFont="1" applyFill="1" applyBorder="1" applyAlignment="1">
      <alignment horizontal="center"/>
    </xf>
    <xf numFmtId="0" fontId="61" fillId="19" borderId="9" xfId="372" applyFont="1" applyFill="1" applyBorder="1" applyAlignment="1">
      <alignment horizontal="left"/>
    </xf>
    <xf numFmtId="0" fontId="61" fillId="19" borderId="1" xfId="372" applyFont="1" applyFill="1" applyBorder="1" applyAlignment="1">
      <alignment horizontal="left"/>
    </xf>
    <xf numFmtId="2" fontId="61" fillId="3" borderId="1" xfId="372" applyNumberFormat="1" applyFont="1" applyFill="1" applyBorder="1" applyAlignment="1" applyProtection="1">
      <alignment horizontal="center"/>
      <protection locked="0"/>
    </xf>
    <xf numFmtId="2" fontId="61" fillId="3" borderId="14" xfId="372" applyNumberFormat="1" applyFont="1" applyFill="1" applyBorder="1" applyAlignment="1" applyProtection="1">
      <alignment horizontal="center"/>
      <protection locked="0"/>
    </xf>
    <xf numFmtId="0" fontId="129" fillId="44" borderId="13" xfId="0" applyFont="1" applyFill="1" applyBorder="1" applyAlignment="1">
      <alignment horizontal="left"/>
    </xf>
    <xf numFmtId="0" fontId="129" fillId="44" borderId="5" xfId="0" applyFont="1" applyFill="1" applyBorder="1" applyAlignment="1">
      <alignment horizontal="left"/>
    </xf>
    <xf numFmtId="0" fontId="129" fillId="44" borderId="6" xfId="0" applyFont="1" applyFill="1" applyBorder="1" applyAlignment="1">
      <alignment horizontal="left"/>
    </xf>
    <xf numFmtId="2" fontId="129" fillId="44" borderId="4" xfId="0" applyNumberFormat="1" applyFont="1" applyFill="1" applyBorder="1" applyAlignment="1">
      <alignment horizontal="center"/>
    </xf>
    <xf numFmtId="2" fontId="129" fillId="44" borderId="5" xfId="0" applyNumberFormat="1" applyFont="1" applyFill="1" applyBorder="1" applyAlignment="1">
      <alignment horizontal="center"/>
    </xf>
    <xf numFmtId="2" fontId="129" fillId="44" borderId="40" xfId="0" applyNumberFormat="1" applyFont="1" applyFill="1" applyBorder="1" applyAlignment="1">
      <alignment horizontal="center"/>
    </xf>
    <xf numFmtId="0" fontId="22" fillId="10" borderId="4" xfId="372" applyFill="1" applyBorder="1" applyAlignment="1" applyProtection="1">
      <alignment horizontal="left"/>
      <protection locked="0"/>
    </xf>
    <xf numFmtId="0" fontId="22" fillId="10" borderId="5" xfId="372" applyFill="1" applyBorder="1" applyAlignment="1" applyProtection="1">
      <alignment horizontal="left"/>
      <protection locked="0"/>
    </xf>
    <xf numFmtId="0" fontId="22" fillId="10" borderId="6" xfId="372" applyFill="1" applyBorder="1" applyAlignment="1" applyProtection="1">
      <alignment horizontal="left"/>
      <protection locked="0"/>
    </xf>
    <xf numFmtId="0" fontId="22" fillId="10" borderId="73" xfId="372" applyFill="1" applyBorder="1" applyAlignment="1" applyProtection="1">
      <alignment horizontal="left"/>
      <protection locked="0"/>
    </xf>
    <xf numFmtId="0" fontId="22" fillId="10" borderId="74" xfId="372" applyFill="1" applyBorder="1" applyAlignment="1" applyProtection="1">
      <alignment horizontal="left"/>
      <protection locked="0"/>
    </xf>
    <xf numFmtId="0" fontId="22" fillId="10" borderId="72" xfId="372" applyFill="1" applyBorder="1" applyAlignment="1" applyProtection="1">
      <alignment horizontal="left"/>
      <protection locked="0"/>
    </xf>
    <xf numFmtId="0" fontId="120" fillId="2" borderId="0" xfId="372" applyFont="1" applyFill="1" applyAlignment="1">
      <alignment horizontal="left"/>
    </xf>
    <xf numFmtId="0" fontId="80" fillId="4" borderId="58" xfId="372" applyFont="1" applyFill="1" applyBorder="1" applyAlignment="1">
      <alignment horizontal="center" vertical="center"/>
    </xf>
    <xf numFmtId="0" fontId="80" fillId="4" borderId="59" xfId="372" applyFont="1" applyFill="1" applyBorder="1" applyAlignment="1">
      <alignment horizontal="center" vertical="center"/>
    </xf>
    <xf numFmtId="0" fontId="80" fillId="4" borderId="37" xfId="372" applyFont="1" applyFill="1" applyBorder="1" applyAlignment="1">
      <alignment horizontal="center" vertical="center"/>
    </xf>
    <xf numFmtId="0" fontId="80" fillId="4" borderId="52" xfId="372" applyFont="1" applyFill="1" applyBorder="1" applyAlignment="1">
      <alignment horizontal="center" vertical="center"/>
    </xf>
    <xf numFmtId="0" fontId="22" fillId="0" borderId="9" xfId="372" applyBorder="1" applyAlignment="1">
      <alignment horizontal="left"/>
    </xf>
    <xf numFmtId="0" fontId="22" fillId="0" borderId="1" xfId="372" applyBorder="1" applyAlignment="1">
      <alignment horizontal="left"/>
    </xf>
    <xf numFmtId="2" fontId="22" fillId="0" borderId="1" xfId="372" applyNumberFormat="1" applyBorder="1" applyAlignment="1">
      <alignment horizontal="center"/>
    </xf>
    <xf numFmtId="2" fontId="22" fillId="0" borderId="4" xfId="372" applyNumberFormat="1" applyBorder="1" applyAlignment="1">
      <alignment horizontal="center"/>
    </xf>
    <xf numFmtId="2" fontId="22" fillId="0" borderId="14" xfId="372" applyNumberFormat="1" applyBorder="1" applyAlignment="1">
      <alignment horizontal="center"/>
    </xf>
    <xf numFmtId="0" fontId="22" fillId="29" borderId="9" xfId="372" applyFill="1" applyBorder="1" applyAlignment="1">
      <alignment horizontal="left"/>
    </xf>
    <xf numFmtId="0" fontId="22" fillId="29" borderId="1" xfId="372" applyFill="1" applyBorder="1" applyAlignment="1">
      <alignment horizontal="left"/>
    </xf>
    <xf numFmtId="2" fontId="61" fillId="29" borderId="1" xfId="372" applyNumberFormat="1" applyFont="1" applyFill="1" applyBorder="1" applyAlignment="1">
      <alignment horizontal="center"/>
    </xf>
    <xf numFmtId="2" fontId="61" fillId="29" borderId="4" xfId="372" applyNumberFormat="1" applyFont="1" applyFill="1" applyBorder="1" applyAlignment="1">
      <alignment horizontal="center"/>
    </xf>
    <xf numFmtId="2" fontId="61" fillId="29" borderId="14" xfId="372" applyNumberFormat="1" applyFont="1" applyFill="1" applyBorder="1" applyAlignment="1">
      <alignment horizontal="center"/>
    </xf>
    <xf numFmtId="0" fontId="22" fillId="4" borderId="29" xfId="372" applyFill="1" applyBorder="1" applyAlignment="1">
      <alignment horizontal="left"/>
    </xf>
    <xf numFmtId="0" fontId="22" fillId="4" borderId="43" xfId="372" applyFill="1" applyBorder="1" applyAlignment="1">
      <alignment horizontal="left"/>
    </xf>
    <xf numFmtId="0" fontId="22" fillId="4" borderId="32" xfId="372" applyFill="1" applyBorder="1" applyAlignment="1">
      <alignment horizontal="left"/>
    </xf>
    <xf numFmtId="2" fontId="22" fillId="2" borderId="1" xfId="372" applyNumberFormat="1" applyFill="1" applyBorder="1" applyAlignment="1">
      <alignment horizontal="center"/>
    </xf>
    <xf numFmtId="2" fontId="22" fillId="2" borderId="4" xfId="372" applyNumberFormat="1" applyFill="1" applyBorder="1" applyAlignment="1">
      <alignment horizontal="center"/>
    </xf>
    <xf numFmtId="2" fontId="22" fillId="2" borderId="14" xfId="372" applyNumberFormat="1" applyFill="1" applyBorder="1" applyAlignment="1">
      <alignment horizontal="center"/>
    </xf>
    <xf numFmtId="0" fontId="65" fillId="39" borderId="9" xfId="372" applyFont="1" applyFill="1" applyBorder="1" applyAlignment="1">
      <alignment horizontal="left"/>
    </xf>
    <xf numFmtId="0" fontId="65" fillId="39" borderId="1" xfId="372" applyFont="1" applyFill="1" applyBorder="1" applyAlignment="1">
      <alignment horizontal="left"/>
    </xf>
    <xf numFmtId="2" fontId="65" fillId="39" borderId="1" xfId="372" applyNumberFormat="1" applyFont="1" applyFill="1" applyBorder="1" applyAlignment="1">
      <alignment horizontal="center"/>
    </xf>
    <xf numFmtId="2" fontId="65" fillId="39" borderId="14" xfId="372" applyNumberFormat="1" applyFont="1" applyFill="1" applyBorder="1" applyAlignment="1">
      <alignment horizontal="center"/>
    </xf>
    <xf numFmtId="2" fontId="22" fillId="29" borderId="4" xfId="372" applyNumberFormat="1" applyFill="1" applyBorder="1" applyAlignment="1">
      <alignment horizontal="center"/>
    </xf>
    <xf numFmtId="2" fontId="22" fillId="29" borderId="5" xfId="372" applyNumberFormat="1" applyFill="1" applyBorder="1" applyAlignment="1">
      <alignment horizontal="center"/>
    </xf>
    <xf numFmtId="2" fontId="22" fillId="29" borderId="40" xfId="372" applyNumberFormat="1" applyFill="1" applyBorder="1" applyAlignment="1">
      <alignment horizontal="center"/>
    </xf>
    <xf numFmtId="0" fontId="22" fillId="29" borderId="13" xfId="372" applyFill="1" applyBorder="1" applyAlignment="1">
      <alignment horizontal="left"/>
    </xf>
    <xf numFmtId="0" fontId="22" fillId="29" borderId="5" xfId="372" applyFill="1" applyBorder="1" applyAlignment="1">
      <alignment horizontal="left"/>
    </xf>
    <xf numFmtId="0" fontId="22" fillId="29" borderId="6" xfId="372" applyFill="1" applyBorder="1" applyAlignment="1">
      <alignment horizontal="left"/>
    </xf>
    <xf numFmtId="0" fontId="80" fillId="4" borderId="9" xfId="372" applyFont="1" applyFill="1" applyBorder="1" applyAlignment="1">
      <alignment horizontal="center" vertical="center"/>
    </xf>
    <xf numFmtId="0" fontId="80" fillId="4" borderId="1" xfId="372" applyFont="1" applyFill="1" applyBorder="1" applyAlignment="1">
      <alignment horizontal="center" vertical="center"/>
    </xf>
    <xf numFmtId="0" fontId="50" fillId="4" borderId="13" xfId="372" applyFont="1" applyFill="1" applyBorder="1" applyAlignment="1">
      <alignment horizontal="center" vertical="center" wrapText="1"/>
    </xf>
    <xf numFmtId="0" fontId="50" fillId="4" borderId="6" xfId="372" applyFont="1" applyFill="1" applyBorder="1" applyAlignment="1">
      <alignment horizontal="center" vertical="center" wrapText="1"/>
    </xf>
    <xf numFmtId="0" fontId="18" fillId="0" borderId="0" xfId="0" applyFont="1" applyAlignment="1">
      <alignment horizontal="center"/>
    </xf>
    <xf numFmtId="0" fontId="37" fillId="0" borderId="8" xfId="372" applyFont="1" applyBorder="1" applyAlignment="1">
      <alignment horizontal="center" vertical="center" wrapText="1"/>
    </xf>
    <xf numFmtId="0" fontId="37" fillId="0" borderId="12" xfId="372" applyFont="1" applyBorder="1" applyAlignment="1">
      <alignment horizontal="center" vertical="center" wrapText="1"/>
    </xf>
    <xf numFmtId="0" fontId="37" fillId="0" borderId="80" xfId="372" applyFont="1" applyBorder="1" applyAlignment="1">
      <alignment horizontal="center" vertical="center" wrapText="1"/>
    </xf>
    <xf numFmtId="0" fontId="62" fillId="0" borderId="62" xfId="372" applyFont="1" applyBorder="1" applyAlignment="1">
      <alignment horizontal="center" vertical="center" wrapText="1"/>
    </xf>
    <xf numFmtId="0" fontId="62" fillId="0" borderId="27" xfId="372" applyFont="1" applyBorder="1" applyAlignment="1">
      <alignment horizontal="center" vertical="center" wrapText="1"/>
    </xf>
    <xf numFmtId="0" fontId="62" fillId="0" borderId="75" xfId="372" applyFont="1" applyBorder="1" applyAlignment="1">
      <alignment horizontal="center" vertical="center" wrapText="1"/>
    </xf>
    <xf numFmtId="0" fontId="91" fillId="3" borderId="13" xfId="372" applyFont="1" applyFill="1" applyBorder="1" applyAlignment="1">
      <alignment horizontal="center" vertical="center" wrapText="1"/>
    </xf>
    <xf numFmtId="0" fontId="91" fillId="3" borderId="5" xfId="372" applyFont="1" applyFill="1" applyBorder="1" applyAlignment="1">
      <alignment horizontal="center" vertical="center" wrapText="1"/>
    </xf>
    <xf numFmtId="0" fontId="91" fillId="3" borderId="6" xfId="372" applyFont="1" applyFill="1" applyBorder="1" applyAlignment="1">
      <alignment horizontal="center" vertical="center" wrapText="1"/>
    </xf>
    <xf numFmtId="0" fontId="37" fillId="0" borderId="81" xfId="372" applyFont="1" applyBorder="1" applyAlignment="1">
      <alignment horizontal="center" vertical="center" wrapText="1"/>
    </xf>
    <xf numFmtId="0" fontId="37" fillId="0" borderId="34" xfId="372" applyFont="1" applyBorder="1" applyAlignment="1">
      <alignment horizontal="center" vertical="center" wrapText="1"/>
    </xf>
    <xf numFmtId="0" fontId="61" fillId="5" borderId="29" xfId="372" applyFont="1" applyFill="1" applyBorder="1" applyAlignment="1">
      <alignment horizontal="left" wrapText="1"/>
    </xf>
    <xf numFmtId="0" fontId="61" fillId="5" borderId="43" xfId="372" applyFont="1" applyFill="1" applyBorder="1" applyAlignment="1">
      <alignment horizontal="left" wrapText="1"/>
    </xf>
    <xf numFmtId="0" fontId="37" fillId="5" borderId="5" xfId="372" applyFont="1" applyFill="1" applyBorder="1" applyAlignment="1">
      <alignment horizontal="center"/>
    </xf>
    <xf numFmtId="176" fontId="22" fillId="0" borderId="0" xfId="372" applyNumberFormat="1" applyAlignment="1">
      <alignment horizontal="center"/>
    </xf>
    <xf numFmtId="0" fontId="43" fillId="5" borderId="58" xfId="372" applyFont="1" applyFill="1" applyBorder="1" applyAlignment="1">
      <alignment horizontal="center"/>
    </xf>
    <xf numFmtId="0" fontId="43" fillId="5" borderId="59" xfId="372" applyFont="1" applyFill="1" applyBorder="1" applyAlignment="1">
      <alignment horizontal="center"/>
    </xf>
    <xf numFmtId="0" fontId="43" fillId="5" borderId="52" xfId="372" applyFont="1" applyFill="1" applyBorder="1" applyAlignment="1">
      <alignment horizontal="center"/>
    </xf>
    <xf numFmtId="0" fontId="82" fillId="31" borderId="36" xfId="372" applyFont="1" applyFill="1" applyBorder="1" applyAlignment="1">
      <alignment horizontal="center"/>
    </xf>
    <xf numFmtId="0" fontId="82" fillId="31" borderId="60" xfId="372" applyFont="1" applyFill="1" applyBorder="1" applyAlignment="1">
      <alignment horizontal="center"/>
    </xf>
    <xf numFmtId="0" fontId="82" fillId="31" borderId="65" xfId="372" applyFont="1" applyFill="1" applyBorder="1" applyAlignment="1">
      <alignment horizontal="center"/>
    </xf>
    <xf numFmtId="0" fontId="91" fillId="3" borderId="4" xfId="372" applyFont="1" applyFill="1" applyBorder="1" applyAlignment="1">
      <alignment horizontal="center" vertical="center" wrapText="1"/>
    </xf>
    <xf numFmtId="0" fontId="91" fillId="3" borderId="40" xfId="372" applyFont="1" applyFill="1" applyBorder="1" applyAlignment="1">
      <alignment horizontal="center" vertical="center" wrapText="1"/>
    </xf>
    <xf numFmtId="0" fontId="61" fillId="5" borderId="5" xfId="372" applyFont="1" applyFill="1" applyBorder="1" applyAlignment="1">
      <alignment horizontal="left" wrapText="1"/>
    </xf>
    <xf numFmtId="0" fontId="82" fillId="31" borderId="23" xfId="372" applyFont="1" applyFill="1" applyBorder="1" applyAlignment="1">
      <alignment horizontal="center"/>
    </xf>
    <xf numFmtId="0" fontId="82" fillId="31" borderId="24" xfId="372" applyFont="1" applyFill="1" applyBorder="1" applyAlignment="1">
      <alignment horizontal="center"/>
    </xf>
    <xf numFmtId="0" fontId="37" fillId="0" borderId="4" xfId="372" applyFont="1" applyBorder="1" applyAlignment="1">
      <alignment horizontal="center" vertical="center" wrapText="1"/>
    </xf>
    <xf numFmtId="0" fontId="37" fillId="0" borderId="6" xfId="372" applyFont="1" applyBorder="1" applyAlignment="1">
      <alignment horizontal="center" vertical="center" wrapText="1"/>
    </xf>
    <xf numFmtId="0" fontId="37" fillId="0" borderId="35" xfId="372" applyFont="1" applyBorder="1" applyAlignment="1">
      <alignment horizontal="center" vertical="center" wrapText="1"/>
    </xf>
    <xf numFmtId="0" fontId="53" fillId="0" borderId="80" xfId="372" applyFont="1" applyBorder="1" applyAlignment="1">
      <alignment horizontal="center" vertical="center" wrapText="1"/>
    </xf>
    <xf numFmtId="0" fontId="53" fillId="0" borderId="35" xfId="372" applyFont="1" applyBorder="1" applyAlignment="1">
      <alignment horizontal="center" vertical="center" wrapText="1"/>
    </xf>
    <xf numFmtId="0" fontId="80" fillId="0" borderId="81" xfId="372" applyFont="1" applyBorder="1" applyAlignment="1">
      <alignment horizontal="center" vertical="center" wrapText="1"/>
    </xf>
    <xf numFmtId="0" fontId="80" fillId="0" borderId="60" xfId="372" applyFont="1" applyBorder="1" applyAlignment="1">
      <alignment horizontal="center" vertical="center" wrapText="1"/>
    </xf>
    <xf numFmtId="0" fontId="80" fillId="0" borderId="61" xfId="372" applyFont="1" applyBorder="1" applyAlignment="1">
      <alignment horizontal="center" vertical="center" wrapText="1"/>
    </xf>
    <xf numFmtId="0" fontId="80" fillId="0" borderId="3" xfId="372" applyFont="1" applyBorder="1" applyAlignment="1">
      <alignment horizontal="center" vertical="center" wrapText="1"/>
    </xf>
    <xf numFmtId="0" fontId="80" fillId="0" borderId="0" xfId="372" applyFont="1" applyAlignment="1">
      <alignment horizontal="center" vertical="center" wrapText="1"/>
    </xf>
    <xf numFmtId="0" fontId="80" fillId="0" borderId="46" xfId="372" applyFont="1" applyBorder="1" applyAlignment="1">
      <alignment horizontal="center" vertical="center" wrapText="1"/>
    </xf>
    <xf numFmtId="0" fontId="80" fillId="0" borderId="34" xfId="372" applyFont="1" applyBorder="1" applyAlignment="1">
      <alignment horizontal="center" vertical="center" wrapText="1"/>
    </xf>
    <xf numFmtId="0" fontId="80" fillId="0" borderId="27" xfId="372" applyFont="1" applyBorder="1" applyAlignment="1">
      <alignment horizontal="center" vertical="center" wrapText="1"/>
    </xf>
    <xf numFmtId="0" fontId="80" fillId="0" borderId="19" xfId="372" applyFont="1" applyBorder="1" applyAlignment="1">
      <alignment horizontal="center" vertical="center" wrapText="1"/>
    </xf>
    <xf numFmtId="2" fontId="61" fillId="4" borderId="42" xfId="372" applyNumberFormat="1" applyFont="1" applyFill="1" applyBorder="1" applyAlignment="1">
      <alignment horizontal="center" vertical="center"/>
    </xf>
    <xf numFmtId="2" fontId="61" fillId="4" borderId="43" xfId="372" applyNumberFormat="1" applyFont="1" applyFill="1" applyBorder="1" applyAlignment="1">
      <alignment horizontal="center" vertical="center"/>
    </xf>
    <xf numFmtId="2" fontId="61" fillId="4" borderId="44" xfId="372" applyNumberFormat="1" applyFont="1" applyFill="1" applyBorder="1" applyAlignment="1">
      <alignment horizontal="center" vertical="center"/>
    </xf>
    <xf numFmtId="0" fontId="77" fillId="4" borderId="66" xfId="372" applyFont="1" applyFill="1" applyBorder="1" applyAlignment="1">
      <alignment horizontal="left"/>
    </xf>
    <xf numFmtId="0" fontId="77" fillId="4" borderId="97" xfId="372" applyFont="1" applyFill="1" applyBorder="1" applyAlignment="1">
      <alignment horizontal="left"/>
    </xf>
    <xf numFmtId="0" fontId="77" fillId="4" borderId="16" xfId="372" applyFont="1" applyFill="1" applyBorder="1" applyAlignment="1">
      <alignment horizontal="left"/>
    </xf>
    <xf numFmtId="2" fontId="61" fillId="0" borderId="1" xfId="372" applyNumberFormat="1" applyFont="1" applyBorder="1" applyAlignment="1" applyProtection="1">
      <alignment horizontal="center"/>
      <protection locked="0"/>
    </xf>
    <xf numFmtId="2" fontId="61" fillId="0" borderId="14" xfId="372" applyNumberFormat="1" applyFont="1" applyBorder="1" applyAlignment="1" applyProtection="1">
      <alignment horizontal="center"/>
      <protection locked="0"/>
    </xf>
    <xf numFmtId="0" fontId="37" fillId="4" borderId="4" xfId="372" applyFont="1" applyFill="1" applyBorder="1" applyAlignment="1">
      <alignment horizontal="center" vertical="center" wrapText="1"/>
    </xf>
    <xf numFmtId="0" fontId="37" fillId="4" borderId="6" xfId="372" applyFont="1" applyFill="1" applyBorder="1" applyAlignment="1">
      <alignment horizontal="center" vertical="center" wrapText="1"/>
    </xf>
    <xf numFmtId="0" fontId="37" fillId="4" borderId="4" xfId="372" applyFont="1" applyFill="1" applyBorder="1" applyAlignment="1">
      <alignment horizontal="left" vertical="center" wrapText="1"/>
    </xf>
    <xf numFmtId="0" fontId="37" fillId="4" borderId="6" xfId="372" applyFont="1" applyFill="1" applyBorder="1" applyAlignment="1">
      <alignment horizontal="left" vertical="center" wrapText="1"/>
    </xf>
    <xf numFmtId="0" fontId="61" fillId="0" borderId="62" xfId="372" applyFont="1" applyBorder="1" applyAlignment="1" applyProtection="1">
      <alignment horizontal="center"/>
      <protection locked="0"/>
    </xf>
    <xf numFmtId="0" fontId="61" fillId="0" borderId="19" xfId="372" applyFont="1" applyBorder="1" applyAlignment="1" applyProtection="1">
      <alignment horizontal="center"/>
      <protection locked="0"/>
    </xf>
    <xf numFmtId="0" fontId="61" fillId="0" borderId="13" xfId="372" applyFont="1" applyBorder="1" applyAlignment="1" applyProtection="1">
      <alignment horizontal="center"/>
      <protection locked="0"/>
    </xf>
    <xf numFmtId="0" fontId="61" fillId="0" borderId="6" xfId="372" applyFont="1" applyBorder="1" applyAlignment="1" applyProtection="1">
      <alignment horizontal="center"/>
      <protection locked="0"/>
    </xf>
    <xf numFmtId="0" fontId="61" fillId="0" borderId="5" xfId="372" applyFont="1" applyBorder="1" applyAlignment="1" applyProtection="1">
      <alignment horizontal="center"/>
      <protection locked="0"/>
    </xf>
    <xf numFmtId="0" fontId="61" fillId="0" borderId="4" xfId="372" applyFont="1" applyBorder="1" applyAlignment="1" applyProtection="1">
      <alignment horizontal="left"/>
      <protection locked="0"/>
    </xf>
    <xf numFmtId="0" fontId="61" fillId="0" borderId="5" xfId="372" applyFont="1" applyBorder="1" applyAlignment="1" applyProtection="1">
      <alignment horizontal="left"/>
      <protection locked="0"/>
    </xf>
    <xf numFmtId="0" fontId="61" fillId="0" borderId="6" xfId="372" applyFont="1" applyBorder="1" applyAlignment="1" applyProtection="1">
      <alignment horizontal="left"/>
      <protection locked="0"/>
    </xf>
    <xf numFmtId="0" fontId="127" fillId="4" borderId="10" xfId="372" applyFont="1" applyFill="1" applyBorder="1" applyAlignment="1">
      <alignment horizontal="center"/>
    </xf>
    <xf numFmtId="0" fontId="127" fillId="4" borderId="77" xfId="372" applyFont="1" applyFill="1" applyBorder="1" applyAlignment="1">
      <alignment horizontal="center"/>
    </xf>
    <xf numFmtId="0" fontId="120" fillId="0" borderId="0" xfId="372" applyFont="1" applyAlignment="1">
      <alignment horizontal="left"/>
    </xf>
    <xf numFmtId="0" fontId="65" fillId="0" borderId="0" xfId="372" applyFont="1" applyAlignment="1">
      <alignment horizontal="left"/>
    </xf>
    <xf numFmtId="0" fontId="61" fillId="2" borderId="9" xfId="372" applyFont="1" applyFill="1" applyBorder="1" applyAlignment="1" applyProtection="1">
      <alignment horizontal="left"/>
      <protection locked="0"/>
    </xf>
    <xf numFmtId="0" fontId="61" fillId="2" borderId="1" xfId="372" applyFont="1" applyFill="1" applyBorder="1" applyAlignment="1" applyProtection="1">
      <alignment horizontal="left"/>
      <protection locked="0"/>
    </xf>
    <xf numFmtId="2" fontId="65" fillId="33" borderId="1" xfId="372" applyNumberFormat="1" applyFont="1" applyFill="1" applyBorder="1" applyAlignment="1">
      <alignment horizontal="center"/>
    </xf>
    <xf numFmtId="2" fontId="65" fillId="33" borderId="14" xfId="372" applyNumberFormat="1" applyFont="1" applyFill="1" applyBorder="1" applyAlignment="1">
      <alignment horizontal="center"/>
    </xf>
    <xf numFmtId="2" fontId="61" fillId="4" borderId="1" xfId="372" applyNumberFormat="1" applyFont="1" applyFill="1" applyBorder="1" applyAlignment="1">
      <alignment horizontal="center"/>
    </xf>
    <xf numFmtId="2" fontId="61" fillId="4" borderId="14" xfId="372" applyNumberFormat="1" applyFont="1" applyFill="1" applyBorder="1" applyAlignment="1">
      <alignment horizontal="center"/>
    </xf>
    <xf numFmtId="0" fontId="77" fillId="4" borderId="9" xfId="372" applyFont="1" applyFill="1" applyBorder="1" applyAlignment="1">
      <alignment horizontal="left"/>
    </xf>
    <xf numFmtId="0" fontId="77" fillId="4" borderId="1" xfId="372" applyFont="1" applyFill="1" applyBorder="1" applyAlignment="1">
      <alignment horizontal="left"/>
    </xf>
    <xf numFmtId="0" fontId="77" fillId="4" borderId="14" xfId="372" applyFont="1" applyFill="1" applyBorder="1" applyAlignment="1">
      <alignment horizontal="left"/>
    </xf>
    <xf numFmtId="0" fontId="65" fillId="33" borderId="9" xfId="372" applyFont="1" applyFill="1" applyBorder="1" applyAlignment="1">
      <alignment horizontal="left"/>
    </xf>
    <xf numFmtId="0" fontId="65" fillId="33" borderId="1" xfId="372" applyFont="1" applyFill="1" applyBorder="1" applyAlignment="1">
      <alignment horizontal="left"/>
    </xf>
    <xf numFmtId="0" fontId="61" fillId="4" borderId="9" xfId="372" applyFont="1" applyFill="1" applyBorder="1" applyAlignment="1">
      <alignment horizontal="left"/>
    </xf>
    <xf numFmtId="0" fontId="61" fillId="4" borderId="1" xfId="372" applyFont="1" applyFill="1" applyBorder="1" applyAlignment="1">
      <alignment horizontal="left"/>
    </xf>
    <xf numFmtId="0" fontId="61" fillId="2" borderId="13" xfId="372" applyFont="1" applyFill="1" applyBorder="1" applyAlignment="1" applyProtection="1">
      <alignment horizontal="left"/>
      <protection locked="0"/>
    </xf>
    <xf numFmtId="0" fontId="61" fillId="2" borderId="5" xfId="372" applyFont="1" applyFill="1" applyBorder="1" applyAlignment="1" applyProtection="1">
      <alignment horizontal="left"/>
      <protection locked="0"/>
    </xf>
    <xf numFmtId="0" fontId="61" fillId="2" borderId="6" xfId="372" applyFont="1" applyFill="1" applyBorder="1" applyAlignment="1" applyProtection="1">
      <alignment horizontal="left"/>
      <protection locked="0"/>
    </xf>
    <xf numFmtId="2" fontId="22" fillId="27" borderId="1" xfId="372" applyNumberFormat="1" applyFill="1" applyBorder="1" applyAlignment="1">
      <alignment horizontal="center"/>
    </xf>
    <xf numFmtId="2" fontId="22" fillId="27" borderId="14" xfId="372" applyNumberFormat="1" applyFill="1" applyBorder="1" applyAlignment="1">
      <alignment horizontal="center"/>
    </xf>
    <xf numFmtId="2" fontId="61" fillId="32" borderId="1" xfId="372" applyNumberFormat="1" applyFont="1" applyFill="1" applyBorder="1" applyAlignment="1">
      <alignment horizontal="center"/>
    </xf>
    <xf numFmtId="2" fontId="61" fillId="32" borderId="14" xfId="372" applyNumberFormat="1" applyFont="1" applyFill="1" applyBorder="1" applyAlignment="1">
      <alignment horizontal="center"/>
    </xf>
    <xf numFmtId="2" fontId="61" fillId="19" borderId="1" xfId="372" applyNumberFormat="1" applyFont="1" applyFill="1" applyBorder="1" applyAlignment="1">
      <alignment horizontal="center"/>
    </xf>
    <xf numFmtId="2" fontId="61" fillId="19" borderId="14" xfId="372" applyNumberFormat="1" applyFont="1" applyFill="1" applyBorder="1" applyAlignment="1">
      <alignment horizontal="center"/>
    </xf>
    <xf numFmtId="0" fontId="61" fillId="32" borderId="9" xfId="372" applyFont="1" applyFill="1" applyBorder="1" applyAlignment="1">
      <alignment horizontal="left"/>
    </xf>
    <xf numFmtId="0" fontId="61" fillId="32" borderId="1" xfId="372" applyFont="1" applyFill="1" applyBorder="1" applyAlignment="1">
      <alignment horizontal="left"/>
    </xf>
    <xf numFmtId="0" fontId="91" fillId="3" borderId="3" xfId="372" applyFont="1" applyFill="1" applyBorder="1" applyAlignment="1">
      <alignment horizontal="center" vertical="center" wrapText="1"/>
    </xf>
    <xf numFmtId="0" fontId="91" fillId="3" borderId="0" xfId="372" applyFont="1" applyFill="1" applyAlignment="1">
      <alignment horizontal="center" vertical="center" wrapText="1"/>
    </xf>
    <xf numFmtId="0" fontId="91" fillId="3" borderId="78" xfId="372" applyFont="1" applyFill="1" applyBorder="1" applyAlignment="1">
      <alignment horizontal="center" vertical="center" wrapText="1"/>
    </xf>
    <xf numFmtId="0" fontId="80" fillId="4" borderId="38" xfId="372" applyFont="1" applyFill="1" applyBorder="1" applyAlignment="1">
      <alignment horizontal="center" vertical="center"/>
    </xf>
    <xf numFmtId="0" fontId="80" fillId="4" borderId="39" xfId="372" applyFont="1" applyFill="1" applyBorder="1" applyAlignment="1">
      <alignment horizontal="center" vertical="center"/>
    </xf>
    <xf numFmtId="0" fontId="65" fillId="31" borderId="41" xfId="372" applyFont="1" applyFill="1" applyBorder="1" applyAlignment="1">
      <alignment horizontal="left"/>
    </xf>
    <xf numFmtId="0" fontId="65" fillId="31" borderId="45" xfId="372" applyFont="1" applyFill="1" applyBorder="1" applyAlignment="1">
      <alignment horizontal="left"/>
    </xf>
    <xf numFmtId="0" fontId="65" fillId="31" borderId="91" xfId="372" applyFont="1" applyFill="1" applyBorder="1" applyAlignment="1">
      <alignment horizontal="left"/>
    </xf>
    <xf numFmtId="2" fontId="65" fillId="31" borderId="86" xfId="372" applyNumberFormat="1" applyFont="1" applyFill="1" applyBorder="1" applyAlignment="1">
      <alignment horizontal="center"/>
    </xf>
    <xf numFmtId="2" fontId="65" fillId="31" borderId="45" xfId="372" applyNumberFormat="1" applyFont="1" applyFill="1" applyBorder="1" applyAlignment="1">
      <alignment horizontal="center"/>
    </xf>
    <xf numFmtId="2" fontId="65" fillId="31" borderId="76" xfId="372" applyNumberFormat="1" applyFont="1" applyFill="1" applyBorder="1" applyAlignment="1">
      <alignment horizontal="center"/>
    </xf>
    <xf numFmtId="0" fontId="81" fillId="0" borderId="0" xfId="372" applyFont="1" applyAlignment="1">
      <alignment horizontal="center"/>
    </xf>
    <xf numFmtId="0" fontId="43" fillId="5" borderId="11" xfId="372" applyFont="1" applyFill="1" applyBorder="1" applyAlignment="1">
      <alignment horizontal="center"/>
    </xf>
    <xf numFmtId="0" fontId="43" fillId="5" borderId="38" xfId="372" applyFont="1" applyFill="1" applyBorder="1" applyAlignment="1">
      <alignment horizontal="center"/>
    </xf>
    <xf numFmtId="0" fontId="43" fillId="5" borderId="39" xfId="372" applyFont="1" applyFill="1" applyBorder="1" applyAlignment="1">
      <alignment horizontal="center"/>
    </xf>
    <xf numFmtId="0" fontId="37" fillId="4" borderId="13" xfId="372" applyFont="1" applyFill="1" applyBorder="1" applyAlignment="1">
      <alignment horizontal="left" vertical="center"/>
    </xf>
    <xf numFmtId="0" fontId="37" fillId="4" borderId="5" xfId="372" applyFont="1" applyFill="1" applyBorder="1" applyAlignment="1">
      <alignment horizontal="left" vertical="center"/>
    </xf>
    <xf numFmtId="0" fontId="37" fillId="4" borderId="6" xfId="372" applyFont="1" applyFill="1" applyBorder="1" applyAlignment="1">
      <alignment horizontal="left" vertical="center"/>
    </xf>
    <xf numFmtId="2" fontId="61" fillId="3" borderId="4" xfId="372" applyNumberFormat="1" applyFont="1" applyFill="1" applyBorder="1" applyAlignment="1" applyProtection="1">
      <alignment horizontal="center"/>
      <protection locked="0"/>
    </xf>
    <xf numFmtId="2" fontId="61" fillId="3" borderId="5" xfId="372" applyNumberFormat="1" applyFont="1" applyFill="1" applyBorder="1" applyAlignment="1" applyProtection="1">
      <alignment horizontal="center"/>
      <protection locked="0"/>
    </xf>
    <xf numFmtId="2" fontId="61" fillId="3" borderId="40" xfId="372" applyNumberFormat="1" applyFont="1" applyFill="1" applyBorder="1" applyAlignment="1" applyProtection="1">
      <alignment horizontal="center"/>
      <protection locked="0"/>
    </xf>
    <xf numFmtId="2" fontId="61" fillId="4" borderId="4" xfId="372" applyNumberFormat="1" applyFont="1" applyFill="1" applyBorder="1" applyAlignment="1">
      <alignment horizontal="center"/>
    </xf>
    <xf numFmtId="2" fontId="61" fillId="4" borderId="5" xfId="372" applyNumberFormat="1" applyFont="1" applyFill="1" applyBorder="1" applyAlignment="1">
      <alignment horizontal="center"/>
    </xf>
    <xf numFmtId="2" fontId="61" fillId="4" borderId="40" xfId="372" applyNumberFormat="1" applyFont="1" applyFill="1" applyBorder="1" applyAlignment="1">
      <alignment horizontal="center"/>
    </xf>
    <xf numFmtId="0" fontId="43" fillId="5" borderId="4" xfId="372" applyFont="1" applyFill="1" applyBorder="1" applyAlignment="1">
      <alignment horizontal="center"/>
    </xf>
    <xf numFmtId="0" fontId="43" fillId="5" borderId="5" xfId="372" applyFont="1" applyFill="1" applyBorder="1" applyAlignment="1">
      <alignment horizontal="center"/>
    </xf>
    <xf numFmtId="0" fontId="43" fillId="5" borderId="6" xfId="372" applyFont="1" applyFill="1" applyBorder="1" applyAlignment="1">
      <alignment horizontal="center"/>
    </xf>
    <xf numFmtId="2" fontId="22" fillId="0" borderId="5" xfId="372" applyNumberFormat="1" applyBorder="1" applyAlignment="1">
      <alignment horizontal="center"/>
    </xf>
    <xf numFmtId="2" fontId="22" fillId="0" borderId="40" xfId="372" applyNumberFormat="1" applyBorder="1" applyAlignment="1">
      <alignment horizontal="center"/>
    </xf>
    <xf numFmtId="2" fontId="22" fillId="29" borderId="1" xfId="372" applyNumberFormat="1" applyFill="1" applyBorder="1" applyAlignment="1">
      <alignment horizontal="center"/>
    </xf>
    <xf numFmtId="2" fontId="22" fillId="29" borderId="14" xfId="372" applyNumberFormat="1" applyFill="1" applyBorder="1" applyAlignment="1">
      <alignment horizontal="center"/>
    </xf>
    <xf numFmtId="2" fontId="61" fillId="3" borderId="4" xfId="372" applyNumberFormat="1" applyFont="1" applyFill="1" applyBorder="1" applyProtection="1">
      <protection locked="0"/>
    </xf>
    <xf numFmtId="2" fontId="61" fillId="3" borderId="5" xfId="372" applyNumberFormat="1" applyFont="1" applyFill="1" applyBorder="1" applyProtection="1">
      <protection locked="0"/>
    </xf>
    <xf numFmtId="2" fontId="61" fillId="3" borderId="40" xfId="372" applyNumberFormat="1" applyFont="1" applyFill="1" applyBorder="1" applyProtection="1">
      <protection locked="0"/>
    </xf>
    <xf numFmtId="0" fontId="130" fillId="40" borderId="93" xfId="0" applyFont="1" applyFill="1" applyBorder="1" applyAlignment="1">
      <alignment horizontal="left"/>
    </xf>
    <xf numFmtId="2" fontId="128" fillId="40" borderId="93" xfId="0" applyNumberFormat="1" applyFont="1" applyFill="1" applyBorder="1" applyAlignment="1">
      <alignment horizontal="center"/>
    </xf>
    <xf numFmtId="0" fontId="128" fillId="43" borderId="13" xfId="0" applyFont="1" applyFill="1" applyBorder="1" applyAlignment="1">
      <alignment horizontal="left"/>
    </xf>
    <xf numFmtId="0" fontId="128" fillId="43" borderId="5" xfId="0" applyFont="1" applyFill="1" applyBorder="1" applyAlignment="1">
      <alignment horizontal="left"/>
    </xf>
    <xf numFmtId="0" fontId="128" fillId="43" borderId="6" xfId="0" applyFont="1" applyFill="1" applyBorder="1" applyAlignment="1">
      <alignment horizontal="left"/>
    </xf>
    <xf numFmtId="2" fontId="128" fillId="43" borderId="4" xfId="0" applyNumberFormat="1" applyFont="1" applyFill="1" applyBorder="1" applyAlignment="1">
      <alignment horizontal="center"/>
    </xf>
    <xf numFmtId="2" fontId="128" fillId="43" borderId="5" xfId="0" applyNumberFormat="1" applyFont="1" applyFill="1" applyBorder="1" applyAlignment="1">
      <alignment horizontal="center"/>
    </xf>
    <xf numFmtId="2" fontId="128" fillId="43" borderId="93" xfId="0" applyNumberFormat="1" applyFont="1" applyFill="1" applyBorder="1" applyAlignment="1">
      <alignment horizontal="center"/>
    </xf>
    <xf numFmtId="2" fontId="129" fillId="44" borderId="93" xfId="0" applyNumberFormat="1" applyFont="1" applyFill="1" applyBorder="1" applyAlignment="1">
      <alignment horizontal="center"/>
    </xf>
    <xf numFmtId="2" fontId="128" fillId="43" borderId="40" xfId="0" applyNumberFormat="1" applyFont="1" applyFill="1" applyBorder="1" applyAlignment="1">
      <alignment horizontal="center"/>
    </xf>
    <xf numFmtId="0" fontId="80" fillId="4" borderId="9" xfId="372" applyFont="1" applyFill="1" applyBorder="1" applyAlignment="1">
      <alignment horizontal="center" vertical="center" wrapText="1"/>
    </xf>
    <xf numFmtId="0" fontId="80" fillId="4" borderId="1" xfId="372" applyFont="1" applyFill="1" applyBorder="1" applyAlignment="1">
      <alignment horizontal="center" vertical="center" wrapText="1"/>
    </xf>
    <xf numFmtId="49" fontId="76" fillId="31" borderId="4" xfId="0" applyNumberFormat="1" applyFont="1" applyFill="1" applyBorder="1" applyAlignment="1">
      <alignment horizontal="center" wrapText="1"/>
    </xf>
    <xf numFmtId="49" fontId="76" fillId="31" borderId="6" xfId="0" applyNumberFormat="1" applyFont="1" applyFill="1" applyBorder="1" applyAlignment="1">
      <alignment horizontal="center" wrapText="1"/>
    </xf>
    <xf numFmtId="0" fontId="92" fillId="31" borderId="36" xfId="0" applyFont="1" applyFill="1" applyBorder="1" applyAlignment="1">
      <alignment horizontal="center" vertical="center" textRotation="90"/>
    </xf>
    <xf numFmtId="0" fontId="92" fillId="31" borderId="33" xfId="0" applyFont="1" applyFill="1" applyBorder="1" applyAlignment="1">
      <alignment horizontal="center" vertical="center" textRotation="90"/>
    </xf>
    <xf numFmtId="0" fontId="92" fillId="31" borderId="41" xfId="0" applyFont="1" applyFill="1" applyBorder="1" applyAlignment="1">
      <alignment horizontal="center" vertical="center" textRotation="90"/>
    </xf>
    <xf numFmtId="0" fontId="92" fillId="31" borderId="36" xfId="0" applyFont="1" applyFill="1" applyBorder="1" applyAlignment="1">
      <alignment horizontal="center" vertical="center"/>
    </xf>
    <xf numFmtId="0" fontId="92" fillId="31" borderId="33" xfId="0" applyFont="1" applyFill="1" applyBorder="1" applyAlignment="1">
      <alignment horizontal="center" vertical="center"/>
    </xf>
    <xf numFmtId="0" fontId="118" fillId="4" borderId="34" xfId="0" applyFont="1" applyFill="1" applyBorder="1" applyAlignment="1">
      <alignment horizontal="center" vertical="center" wrapText="1"/>
    </xf>
    <xf numFmtId="0" fontId="118" fillId="4" borderId="27" xfId="0" applyFont="1" applyFill="1" applyBorder="1" applyAlignment="1">
      <alignment horizontal="center" vertical="center" wrapText="1"/>
    </xf>
    <xf numFmtId="0" fontId="118" fillId="4" borderId="75" xfId="0" applyFont="1" applyFill="1" applyBorder="1" applyAlignment="1">
      <alignment horizontal="center" vertical="center" wrapText="1"/>
    </xf>
    <xf numFmtId="0" fontId="95" fillId="0" borderId="60" xfId="0" applyFont="1" applyBorder="1" applyAlignment="1">
      <alignment horizontal="left" wrapText="1"/>
    </xf>
    <xf numFmtId="49" fontId="0" fillId="5" borderId="4" xfId="0" applyNumberFormat="1" applyFill="1" applyBorder="1" applyAlignment="1">
      <alignment horizontal="left" wrapText="1"/>
    </xf>
    <xf numFmtId="49" fontId="0" fillId="5" borderId="6" xfId="0" applyNumberFormat="1" applyFill="1" applyBorder="1" applyAlignment="1">
      <alignment horizontal="left" wrapText="1"/>
    </xf>
    <xf numFmtId="49" fontId="0" fillId="4" borderId="29" xfId="0" applyNumberFormat="1" applyFill="1" applyBorder="1" applyAlignment="1">
      <alignment horizontal="left" vertical="center" wrapText="1"/>
    </xf>
    <xf numFmtId="49" fontId="0" fillId="4" borderId="43" xfId="0" applyNumberFormat="1" applyFill="1" applyBorder="1" applyAlignment="1">
      <alignment horizontal="left" vertical="center" wrapText="1"/>
    </xf>
    <xf numFmtId="49" fontId="0" fillId="4" borderId="32" xfId="0" applyNumberFormat="1" applyFill="1" applyBorder="1" applyAlignment="1">
      <alignment horizontal="left" vertical="center" wrapText="1"/>
    </xf>
    <xf numFmtId="49" fontId="0" fillId="5" borderId="5" xfId="0" applyNumberFormat="1" applyFill="1" applyBorder="1" applyAlignment="1">
      <alignment horizontal="left" wrapText="1"/>
    </xf>
    <xf numFmtId="49" fontId="0" fillId="2" borderId="1" xfId="0" applyNumberFormat="1" applyFill="1" applyBorder="1" applyAlignment="1">
      <alignment horizontal="center"/>
    </xf>
    <xf numFmtId="49" fontId="71" fillId="4" borderId="3" xfId="0" applyNumberFormat="1" applyFont="1" applyFill="1" applyBorder="1" applyAlignment="1">
      <alignment horizontal="center" wrapText="1"/>
    </xf>
    <xf numFmtId="49" fontId="71" fillId="4" borderId="0" xfId="0" applyNumberFormat="1" applyFont="1" applyFill="1" applyAlignment="1">
      <alignment horizontal="center" wrapText="1"/>
    </xf>
    <xf numFmtId="49" fontId="71" fillId="4" borderId="78" xfId="0" applyNumberFormat="1" applyFont="1" applyFill="1" applyBorder="1" applyAlignment="1">
      <alignment horizontal="center" wrapText="1"/>
    </xf>
    <xf numFmtId="49" fontId="6" fillId="4" borderId="81" xfId="0" applyNumberFormat="1" applyFont="1" applyFill="1" applyBorder="1" applyAlignment="1">
      <alignment horizontal="center" wrapText="1"/>
    </xf>
    <xf numFmtId="49" fontId="6" fillId="4" borderId="60" xfId="0" applyNumberFormat="1" applyFont="1" applyFill="1" applyBorder="1" applyAlignment="1">
      <alignment horizontal="center" wrapText="1"/>
    </xf>
    <xf numFmtId="49" fontId="6" fillId="4" borderId="65" xfId="0" applyNumberFormat="1" applyFont="1" applyFill="1" applyBorder="1" applyAlignment="1">
      <alignment horizontal="center" wrapText="1"/>
    </xf>
    <xf numFmtId="49" fontId="0" fillId="2" borderId="4" xfId="0" applyNumberFormat="1" applyFill="1" applyBorder="1" applyAlignment="1">
      <alignment horizontal="left" wrapText="1"/>
    </xf>
    <xf numFmtId="49" fontId="0" fillId="2" borderId="5" xfId="0" applyNumberFormat="1" applyFill="1" applyBorder="1" applyAlignment="1">
      <alignment horizontal="left" wrapText="1"/>
    </xf>
    <xf numFmtId="2" fontId="0" fillId="5" borderId="13" xfId="0" applyNumberFormat="1" applyFill="1" applyBorder="1" applyAlignment="1">
      <alignment horizontal="center"/>
    </xf>
    <xf numFmtId="2" fontId="0" fillId="5" borderId="40" xfId="0" applyNumberFormat="1" applyFill="1" applyBorder="1" applyAlignment="1">
      <alignment horizontal="center"/>
    </xf>
    <xf numFmtId="0" fontId="0" fillId="0" borderId="60" xfId="0" applyBorder="1" applyAlignment="1">
      <alignment horizontal="center"/>
    </xf>
    <xf numFmtId="0" fontId="0" fillId="5" borderId="4"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0" fontId="7" fillId="5" borderId="42" xfId="0" applyFont="1" applyFill="1" applyBorder="1" applyAlignment="1">
      <alignment horizontal="left"/>
    </xf>
    <xf numFmtId="0" fontId="7" fillId="5" borderId="43" xfId="0" applyFont="1" applyFill="1" applyBorder="1" applyAlignment="1">
      <alignment horizontal="left"/>
    </xf>
    <xf numFmtId="0" fontId="7" fillId="5" borderId="32" xfId="0" applyFont="1" applyFill="1" applyBorder="1" applyAlignment="1">
      <alignment horizontal="left"/>
    </xf>
    <xf numFmtId="0" fontId="6" fillId="4" borderId="36" xfId="0" applyFont="1" applyFill="1" applyBorder="1" applyAlignment="1">
      <alignment horizontal="center" wrapText="1"/>
    </xf>
    <xf numFmtId="0" fontId="6" fillId="4" borderId="60" xfId="0" applyFont="1" applyFill="1" applyBorder="1" applyAlignment="1">
      <alignment horizontal="center" wrapText="1"/>
    </xf>
    <xf numFmtId="0" fontId="6" fillId="4" borderId="65" xfId="0" applyFont="1" applyFill="1" applyBorder="1" applyAlignment="1">
      <alignment horizontal="center" wrapText="1"/>
    </xf>
    <xf numFmtId="2" fontId="0" fillId="5" borderId="4" xfId="0" applyNumberFormat="1" applyFill="1" applyBorder="1" applyAlignment="1">
      <alignment horizontal="center"/>
    </xf>
    <xf numFmtId="2" fontId="0" fillId="5" borderId="5" xfId="0" applyNumberFormat="1" applyFill="1" applyBorder="1" applyAlignment="1">
      <alignment horizontal="center"/>
    </xf>
    <xf numFmtId="0" fontId="92" fillId="31" borderId="67" xfId="0" applyFont="1" applyFill="1" applyBorder="1" applyAlignment="1">
      <alignment horizontal="center" vertical="center"/>
    </xf>
    <xf numFmtId="0" fontId="92" fillId="31" borderId="68" xfId="0" applyFont="1" applyFill="1" applyBorder="1" applyAlignment="1">
      <alignment horizontal="center" vertical="center"/>
    </xf>
    <xf numFmtId="0" fontId="92" fillId="31" borderId="66" xfId="0" applyFont="1" applyFill="1" applyBorder="1" applyAlignment="1">
      <alignment horizontal="center" vertical="center"/>
    </xf>
    <xf numFmtId="0" fontId="0" fillId="5" borderId="1" xfId="0" applyFill="1" applyBorder="1" applyAlignment="1">
      <alignment horizontal="right"/>
    </xf>
    <xf numFmtId="1" fontId="0" fillId="5" borderId="1" xfId="0" applyNumberFormat="1" applyFill="1" applyBorder="1" applyAlignment="1">
      <alignment horizontal="right"/>
    </xf>
    <xf numFmtId="0" fontId="6" fillId="4" borderId="37" xfId="0" applyFont="1" applyFill="1" applyBorder="1" applyAlignment="1">
      <alignment horizontal="center"/>
    </xf>
    <xf numFmtId="0" fontId="6" fillId="4" borderId="38" xfId="0" applyFont="1" applyFill="1" applyBorder="1" applyAlignment="1">
      <alignment horizontal="center"/>
    </xf>
    <xf numFmtId="0" fontId="6" fillId="4" borderId="39" xfId="0" applyFont="1" applyFill="1" applyBorder="1" applyAlignment="1">
      <alignment horizontal="center"/>
    </xf>
    <xf numFmtId="0" fontId="71" fillId="4" borderId="2" xfId="0" applyFont="1" applyFill="1" applyBorder="1" applyAlignment="1">
      <alignment horizontal="center" vertical="center" wrapText="1"/>
    </xf>
    <xf numFmtId="0" fontId="71" fillId="4" borderId="10" xfId="0" applyFont="1" applyFill="1" applyBorder="1" applyAlignment="1">
      <alignment horizontal="center" vertical="center" wrapText="1"/>
    </xf>
    <xf numFmtId="0" fontId="71" fillId="4" borderId="77" xfId="0" applyFont="1" applyFill="1" applyBorder="1" applyAlignment="1">
      <alignment horizontal="center" vertical="center" wrapText="1"/>
    </xf>
    <xf numFmtId="0" fontId="0" fillId="4" borderId="2" xfId="0" applyFill="1" applyBorder="1" applyAlignment="1">
      <alignment horizontal="left" vertical="center" wrapText="1"/>
    </xf>
    <xf numFmtId="0" fontId="0" fillId="4" borderId="10" xfId="0" applyFill="1" applyBorder="1" applyAlignment="1">
      <alignment horizontal="left" vertical="center" wrapText="1"/>
    </xf>
    <xf numFmtId="0" fontId="0" fillId="4" borderId="77" xfId="0" applyFill="1" applyBorder="1" applyAlignment="1">
      <alignment horizontal="left" vertical="center" wrapText="1"/>
    </xf>
    <xf numFmtId="0" fontId="0" fillId="4" borderId="86" xfId="0" applyFill="1" applyBorder="1" applyAlignment="1">
      <alignment horizontal="left" vertical="center" wrapText="1"/>
    </xf>
    <xf numFmtId="0" fontId="0" fillId="4" borderId="45" xfId="0" applyFill="1" applyBorder="1" applyAlignment="1">
      <alignment horizontal="left" vertical="center" wrapText="1"/>
    </xf>
    <xf numFmtId="0" fontId="0" fillId="4" borderId="76" xfId="0" applyFill="1" applyBorder="1" applyAlignment="1">
      <alignment horizontal="left" vertical="center" wrapText="1"/>
    </xf>
    <xf numFmtId="2" fontId="95" fillId="2" borderId="0" xfId="0" applyNumberFormat="1" applyFont="1" applyFill="1" applyAlignment="1">
      <alignment horizontal="left"/>
    </xf>
    <xf numFmtId="2" fontId="95" fillId="2" borderId="0" xfId="0" applyNumberFormat="1" applyFont="1" applyFill="1" applyAlignment="1">
      <alignment horizontal="left" wrapText="1"/>
    </xf>
    <xf numFmtId="2" fontId="96" fillId="2" borderId="45" xfId="0" applyNumberFormat="1" applyFont="1" applyFill="1" applyBorder="1" applyAlignment="1">
      <alignment horizontal="left" wrapText="1"/>
    </xf>
    <xf numFmtId="0" fontId="108" fillId="2" borderId="45" xfId="0" applyFont="1" applyFill="1" applyBorder="1" applyAlignment="1">
      <alignment horizontal="center" vertical="center"/>
    </xf>
    <xf numFmtId="0" fontId="0" fillId="2" borderId="11" xfId="0" applyFill="1" applyBorder="1" applyAlignment="1">
      <alignment horizontal="center"/>
    </xf>
    <xf numFmtId="0" fontId="0" fillId="2" borderId="39" xfId="0" applyFill="1" applyBorder="1" applyAlignment="1">
      <alignment horizontal="center"/>
    </xf>
    <xf numFmtId="4" fontId="7" fillId="5" borderId="16" xfId="0" applyNumberFormat="1" applyFont="1" applyFill="1" applyBorder="1" applyAlignment="1">
      <alignment horizontal="right"/>
    </xf>
    <xf numFmtId="0" fontId="0" fillId="5" borderId="4" xfId="0" applyFill="1" applyBorder="1" applyAlignment="1">
      <alignment horizontal="right"/>
    </xf>
    <xf numFmtId="0" fontId="0" fillId="5" borderId="40" xfId="0" applyFill="1" applyBorder="1" applyAlignment="1">
      <alignment horizontal="right"/>
    </xf>
    <xf numFmtId="2" fontId="0" fillId="5" borderId="4" xfId="0" applyNumberFormat="1" applyFill="1" applyBorder="1" applyAlignment="1">
      <alignment horizontal="right"/>
    </xf>
    <xf numFmtId="2" fontId="0" fillId="5" borderId="40" xfId="0" applyNumberFormat="1" applyFill="1" applyBorder="1" applyAlignment="1">
      <alignment horizontal="right"/>
    </xf>
    <xf numFmtId="2" fontId="7" fillId="5" borderId="16" xfId="0" applyNumberFormat="1" applyFont="1" applyFill="1" applyBorder="1" applyAlignment="1">
      <alignment horizontal="right"/>
    </xf>
    <xf numFmtId="2" fontId="7" fillId="5" borderId="17" xfId="0" applyNumberFormat="1" applyFont="1" applyFill="1" applyBorder="1" applyAlignment="1">
      <alignment horizontal="right"/>
    </xf>
    <xf numFmtId="0" fontId="0" fillId="5" borderId="4" xfId="0" applyFill="1" applyBorder="1" applyAlignment="1">
      <alignment horizontal="center"/>
    </xf>
    <xf numFmtId="0" fontId="0" fillId="5" borderId="5" xfId="0" applyFill="1" applyBorder="1" applyAlignment="1">
      <alignment horizontal="center"/>
    </xf>
    <xf numFmtId="0" fontId="18" fillId="0" borderId="0" xfId="0" applyFont="1" applyAlignment="1">
      <alignment horizontal="center" wrapText="1"/>
    </xf>
    <xf numFmtId="1" fontId="0" fillId="4" borderId="13" xfId="0" applyNumberFormat="1" applyFill="1" applyBorder="1" applyAlignment="1">
      <alignment horizontal="center" wrapText="1"/>
    </xf>
    <xf numFmtId="1" fontId="0" fillId="4" borderId="40" xfId="0" applyNumberFormat="1" applyFill="1" applyBorder="1" applyAlignment="1">
      <alignment horizontal="center" wrapText="1"/>
    </xf>
    <xf numFmtId="49" fontId="0" fillId="4" borderId="4" xfId="0" applyNumberFormat="1" applyFill="1" applyBorder="1" applyAlignment="1">
      <alignment horizontal="left" wrapText="1"/>
    </xf>
    <xf numFmtId="49" fontId="0" fillId="4" borderId="5" xfId="0" applyNumberFormat="1" applyFill="1" applyBorder="1" applyAlignment="1">
      <alignment horizontal="left" wrapText="1"/>
    </xf>
    <xf numFmtId="2" fontId="0" fillId="7" borderId="13" xfId="0" applyNumberFormat="1" applyFill="1" applyBorder="1" applyAlignment="1">
      <alignment horizontal="center"/>
    </xf>
    <xf numFmtId="2" fontId="0" fillId="7" borderId="40" xfId="0" applyNumberFormat="1" applyFill="1" applyBorder="1" applyAlignment="1">
      <alignment horizontal="center"/>
    </xf>
    <xf numFmtId="49" fontId="0" fillId="2" borderId="4" xfId="0" applyNumberFormat="1" applyFill="1" applyBorder="1" applyAlignment="1">
      <alignment horizontal="center"/>
    </xf>
    <xf numFmtId="49" fontId="0" fillId="2" borderId="6" xfId="0" applyNumberFormat="1" applyFill="1" applyBorder="1" applyAlignment="1">
      <alignment horizontal="center"/>
    </xf>
    <xf numFmtId="2" fontId="0" fillId="7" borderId="29" xfId="0" applyNumberFormat="1" applyFill="1" applyBorder="1" applyAlignment="1">
      <alignment horizontal="center"/>
    </xf>
    <xf numFmtId="2" fontId="0" fillId="7" borderId="44" xfId="0" applyNumberFormat="1" applyFill="1" applyBorder="1" applyAlignment="1">
      <alignment horizontal="center"/>
    </xf>
    <xf numFmtId="2" fontId="0" fillId="4" borderId="13" xfId="0" applyNumberFormat="1" applyFill="1" applyBorder="1" applyAlignment="1">
      <alignment horizontal="center" wrapText="1"/>
    </xf>
    <xf numFmtId="2" fontId="0" fillId="4" borderId="40" xfId="0" applyNumberFormat="1" applyFill="1" applyBorder="1" applyAlignment="1">
      <alignment horizontal="center" wrapText="1"/>
    </xf>
    <xf numFmtId="49" fontId="0" fillId="7" borderId="4" xfId="0" applyNumberFormat="1" applyFill="1" applyBorder="1" applyAlignment="1">
      <alignment horizontal="left" wrapText="1"/>
    </xf>
    <xf numFmtId="49" fontId="0" fillId="7" borderId="5" xfId="0" applyNumberFormat="1" applyFill="1" applyBorder="1" applyAlignment="1">
      <alignment horizontal="left" wrapText="1"/>
    </xf>
    <xf numFmtId="4" fontId="19" fillId="2" borderId="11" xfId="0" applyNumberFormat="1" applyFont="1" applyFill="1" applyBorder="1" applyAlignment="1">
      <alignment horizontal="center" wrapText="1"/>
    </xf>
    <xf numFmtId="4" fontId="19" fillId="2" borderId="39" xfId="0" applyNumberFormat="1" applyFont="1" applyFill="1" applyBorder="1" applyAlignment="1">
      <alignment horizontal="center" wrapText="1"/>
    </xf>
    <xf numFmtId="0" fontId="71" fillId="4" borderId="33" xfId="0" applyFont="1" applyFill="1" applyBorder="1" applyAlignment="1">
      <alignment horizontal="center" wrapText="1"/>
    </xf>
    <xf numFmtId="0" fontId="71" fillId="4" borderId="0" xfId="0" applyFont="1" applyFill="1" applyAlignment="1">
      <alignment horizontal="center" wrapText="1"/>
    </xf>
    <xf numFmtId="0" fontId="71" fillId="4" borderId="78" xfId="0" applyFont="1" applyFill="1" applyBorder="1" applyAlignment="1">
      <alignment horizontal="center" wrapText="1"/>
    </xf>
    <xf numFmtId="0" fontId="0" fillId="5" borderId="13" xfId="0" applyFill="1" applyBorder="1" applyAlignment="1">
      <alignment horizontal="left"/>
    </xf>
    <xf numFmtId="49" fontId="0" fillId="5" borderId="13" xfId="0" applyNumberFormat="1" applyFill="1" applyBorder="1" applyAlignment="1">
      <alignment horizontal="left"/>
    </xf>
    <xf numFmtId="49" fontId="0" fillId="5" borderId="5" xfId="0" applyNumberFormat="1" applyFill="1" applyBorder="1" applyAlignment="1">
      <alignment horizontal="left"/>
    </xf>
    <xf numFmtId="49" fontId="0" fillId="5" borderId="6" xfId="0" applyNumberFormat="1" applyFill="1" applyBorder="1" applyAlignment="1">
      <alignment horizontal="left"/>
    </xf>
    <xf numFmtId="49" fontId="0" fillId="4" borderId="11" xfId="0" applyNumberFormat="1" applyFill="1" applyBorder="1" applyAlignment="1">
      <alignment horizontal="left"/>
    </xf>
    <xf numFmtId="49" fontId="0" fillId="4" borderId="38" xfId="0" applyNumberFormat="1" applyFill="1" applyBorder="1" applyAlignment="1">
      <alignment horizontal="left"/>
    </xf>
    <xf numFmtId="49" fontId="0" fillId="4" borderId="31" xfId="0" applyNumberFormat="1" applyFill="1" applyBorder="1" applyAlignment="1">
      <alignment horizontal="left"/>
    </xf>
    <xf numFmtId="0" fontId="0" fillId="5" borderId="41" xfId="0" applyFill="1" applyBorder="1" applyAlignment="1">
      <alignment horizontal="left"/>
    </xf>
    <xf numFmtId="0" fontId="0" fillId="5" borderId="45" xfId="0" applyFill="1" applyBorder="1" applyAlignment="1">
      <alignment horizontal="left"/>
    </xf>
    <xf numFmtId="0" fontId="0" fillId="5" borderId="91" xfId="0" applyFill="1" applyBorder="1" applyAlignment="1">
      <alignment horizontal="left"/>
    </xf>
    <xf numFmtId="0" fontId="78" fillId="5" borderId="4" xfId="0" applyFont="1" applyFill="1" applyBorder="1" applyAlignment="1">
      <alignment horizontal="left" vertical="center"/>
    </xf>
    <xf numFmtId="0" fontId="78" fillId="5" borderId="6" xfId="0" applyFont="1" applyFill="1" applyBorder="1" applyAlignment="1">
      <alignment horizontal="left" vertical="center"/>
    </xf>
    <xf numFmtId="0" fontId="17" fillId="31" borderId="23" xfId="0" applyFont="1" applyFill="1" applyBorder="1" applyAlignment="1">
      <alignment horizontal="left" vertical="center" wrapText="1"/>
    </xf>
    <xf numFmtId="0" fontId="17" fillId="31" borderId="24" xfId="0" applyFont="1" applyFill="1" applyBorder="1" applyAlignment="1">
      <alignment horizontal="left" vertical="center" wrapText="1"/>
    </xf>
    <xf numFmtId="0" fontId="17" fillId="31" borderId="25" xfId="0" applyFont="1" applyFill="1" applyBorder="1" applyAlignment="1">
      <alignment horizontal="left" vertical="center" wrapText="1"/>
    </xf>
    <xf numFmtId="0" fontId="78" fillId="5" borderId="13" xfId="0" applyFont="1" applyFill="1" applyBorder="1" applyAlignment="1">
      <alignment horizontal="left" vertical="center"/>
    </xf>
    <xf numFmtId="0" fontId="78" fillId="5" borderId="5" xfId="0" applyFont="1" applyFill="1" applyBorder="1" applyAlignment="1">
      <alignment horizontal="left" vertical="center"/>
    </xf>
    <xf numFmtId="0" fontId="84" fillId="37" borderId="23" xfId="0" applyFont="1" applyFill="1" applyBorder="1" applyAlignment="1">
      <alignment horizontal="left" vertical="center"/>
    </xf>
    <xf numFmtId="0" fontId="84" fillId="37" borderId="24" xfId="0" applyFont="1" applyFill="1" applyBorder="1" applyAlignment="1">
      <alignment horizontal="left" vertical="center"/>
    </xf>
    <xf numFmtId="0" fontId="84" fillId="37" borderId="28" xfId="0" applyFont="1" applyFill="1" applyBorder="1" applyAlignment="1">
      <alignment horizontal="left" vertical="center"/>
    </xf>
    <xf numFmtId="0" fontId="92" fillId="31" borderId="87" xfId="0" applyFont="1" applyFill="1" applyBorder="1" applyAlignment="1">
      <alignment horizontal="center" vertical="center" textRotation="90" wrapText="1"/>
    </xf>
    <xf numFmtId="0" fontId="92" fillId="31" borderId="88" xfId="0" applyFont="1" applyFill="1" applyBorder="1" applyAlignment="1">
      <alignment horizontal="center" vertical="center" textRotation="90" wrapText="1"/>
    </xf>
    <xf numFmtId="0" fontId="92" fillId="31" borderId="92" xfId="0" applyFont="1" applyFill="1" applyBorder="1" applyAlignment="1">
      <alignment horizontal="center" vertical="center" textRotation="90" wrapText="1"/>
    </xf>
    <xf numFmtId="0" fontId="85" fillId="31" borderId="58" xfId="0" applyFont="1" applyFill="1" applyBorder="1" applyAlignment="1">
      <alignment horizontal="left" vertical="center"/>
    </xf>
    <xf numFmtId="0" fontId="85" fillId="31" borderId="59" xfId="0" applyFont="1" applyFill="1" applyBorder="1" applyAlignment="1">
      <alignment horizontal="left" vertical="center"/>
    </xf>
    <xf numFmtId="0" fontId="88" fillId="37" borderId="23" xfId="0" applyFont="1" applyFill="1" applyBorder="1" applyAlignment="1">
      <alignment horizontal="left" vertical="center"/>
    </xf>
    <xf numFmtId="0" fontId="88" fillId="37" borderId="24" xfId="0" applyFont="1" applyFill="1" applyBorder="1" applyAlignment="1">
      <alignment horizontal="left" vertical="center"/>
    </xf>
    <xf numFmtId="0" fontId="0" fillId="2" borderId="36" xfId="0" applyFill="1" applyBorder="1" applyAlignment="1" applyProtection="1">
      <alignment horizontal="left" vertical="center"/>
      <protection locked="0"/>
    </xf>
    <xf numFmtId="0" fontId="0" fillId="2" borderId="60" xfId="0" applyFill="1" applyBorder="1" applyAlignment="1" applyProtection="1">
      <alignment horizontal="left" vertical="center"/>
      <protection locked="0"/>
    </xf>
    <xf numFmtId="0" fontId="0" fillId="2" borderId="65" xfId="0" applyFill="1" applyBorder="1" applyAlignment="1" applyProtection="1">
      <alignment horizontal="left" vertical="center"/>
      <protection locked="0"/>
    </xf>
    <xf numFmtId="0" fontId="85" fillId="31" borderId="20" xfId="0" applyFont="1" applyFill="1" applyBorder="1" applyAlignment="1">
      <alignment horizontal="left" vertical="center" wrapText="1"/>
    </xf>
    <xf numFmtId="0" fontId="85" fillId="31" borderId="21" xfId="0" applyFont="1" applyFill="1" applyBorder="1" applyAlignment="1">
      <alignment horizontal="left" vertical="center" wrapText="1"/>
    </xf>
    <xf numFmtId="0" fontId="85" fillId="31" borderId="82" xfId="0" applyFont="1" applyFill="1" applyBorder="1" applyAlignment="1">
      <alignment horizontal="left" vertical="center" wrapText="1"/>
    </xf>
    <xf numFmtId="0" fontId="85" fillId="31" borderId="24" xfId="0" applyFont="1" applyFill="1" applyBorder="1" applyAlignment="1">
      <alignment horizontal="left" vertical="center" wrapText="1"/>
    </xf>
    <xf numFmtId="0" fontId="0" fillId="2" borderId="62"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85" fillId="31" borderId="87" xfId="0" applyFont="1" applyFill="1" applyBorder="1" applyAlignment="1">
      <alignment horizontal="center" wrapText="1"/>
    </xf>
    <xf numFmtId="0" fontId="85" fillId="31" borderId="88" xfId="0" applyFont="1" applyFill="1" applyBorder="1" applyAlignment="1">
      <alignment horizontal="center" wrapText="1"/>
    </xf>
    <xf numFmtId="0" fontId="0" fillId="2" borderId="13" xfId="0" applyFill="1" applyBorder="1" applyAlignment="1" applyProtection="1">
      <alignment horizontal="left" vertical="center"/>
      <protection locked="0"/>
    </xf>
    <xf numFmtId="0" fontId="0" fillId="2" borderId="5" xfId="0" applyFill="1" applyBorder="1" applyAlignment="1" applyProtection="1">
      <alignment horizontal="left" vertical="center"/>
      <protection locked="0"/>
    </xf>
    <xf numFmtId="0" fontId="0" fillId="2" borderId="40" xfId="0" applyFill="1" applyBorder="1" applyAlignment="1" applyProtection="1">
      <alignment horizontal="left" vertical="center"/>
      <protection locked="0"/>
    </xf>
    <xf numFmtId="0" fontId="86" fillId="37" borderId="23" xfId="0" applyFont="1" applyFill="1" applyBorder="1" applyAlignment="1">
      <alignment horizontal="left" vertical="center"/>
    </xf>
    <xf numFmtId="0" fontId="86" fillId="37" borderId="24" xfId="0" applyFont="1" applyFill="1" applyBorder="1" applyAlignment="1">
      <alignment horizontal="left" vertical="center"/>
    </xf>
    <xf numFmtId="0" fontId="86" fillId="37" borderId="28" xfId="0" applyFont="1" applyFill="1" applyBorder="1" applyAlignment="1">
      <alignment horizontal="left" vertical="center"/>
    </xf>
    <xf numFmtId="0" fontId="17" fillId="0" borderId="33" xfId="0" applyFont="1" applyBorder="1" applyAlignment="1">
      <alignment horizontal="center" vertical="center" wrapText="1"/>
    </xf>
    <xf numFmtId="0" fontId="87" fillId="31" borderId="36" xfId="0" applyFont="1" applyFill="1" applyBorder="1" applyAlignment="1">
      <alignment horizontal="center" vertical="center"/>
    </xf>
    <xf numFmtId="0" fontId="87" fillId="31" borderId="60" xfId="0" applyFont="1" applyFill="1" applyBorder="1" applyAlignment="1">
      <alignment horizontal="center" vertical="center"/>
    </xf>
    <xf numFmtId="0" fontId="87" fillId="31" borderId="65" xfId="0" applyFont="1" applyFill="1" applyBorder="1" applyAlignment="1">
      <alignment horizontal="center" vertical="center"/>
    </xf>
    <xf numFmtId="0" fontId="17" fillId="31" borderId="41" xfId="0" applyFont="1" applyFill="1" applyBorder="1" applyAlignment="1">
      <alignment horizontal="left" vertical="center" wrapText="1"/>
    </xf>
    <xf numFmtId="0" fontId="17" fillId="31" borderId="45" xfId="0" applyFont="1" applyFill="1" applyBorder="1" applyAlignment="1">
      <alignment horizontal="left" vertical="center" wrapText="1"/>
    </xf>
    <xf numFmtId="0" fontId="17" fillId="31" borderId="76" xfId="0" applyFont="1" applyFill="1" applyBorder="1" applyAlignment="1">
      <alignment horizontal="left" vertical="center" wrapText="1"/>
    </xf>
    <xf numFmtId="0" fontId="109" fillId="31" borderId="33" xfId="0" applyFont="1" applyFill="1" applyBorder="1" applyAlignment="1">
      <alignment horizontal="center" wrapText="1"/>
    </xf>
    <xf numFmtId="0" fontId="109" fillId="31" borderId="0" xfId="0" applyFont="1" applyFill="1" applyAlignment="1">
      <alignment horizontal="center" wrapText="1"/>
    </xf>
    <xf numFmtId="0" fontId="88" fillId="31" borderId="33" xfId="0" applyFont="1" applyFill="1" applyBorder="1" applyAlignment="1">
      <alignment horizontal="left" wrapText="1"/>
    </xf>
    <xf numFmtId="0" fontId="88" fillId="31" borderId="0" xfId="0" applyFont="1" applyFill="1" applyAlignment="1">
      <alignment horizontal="left" wrapText="1"/>
    </xf>
    <xf numFmtId="4" fontId="109" fillId="31" borderId="88" xfId="0" applyNumberFormat="1" applyFont="1" applyFill="1" applyBorder="1" applyAlignment="1">
      <alignment horizontal="center" vertical="center" wrapText="1"/>
    </xf>
    <xf numFmtId="4" fontId="109" fillId="31" borderId="92" xfId="0" applyNumberFormat="1" applyFont="1" applyFill="1" applyBorder="1" applyAlignment="1">
      <alignment horizontal="center" vertical="center" wrapText="1"/>
    </xf>
    <xf numFmtId="0" fontId="17" fillId="31" borderId="87" xfId="0" applyFont="1" applyFill="1" applyBorder="1" applyAlignment="1">
      <alignment horizontal="center" vertical="center" wrapText="1"/>
    </xf>
    <xf numFmtId="0" fontId="17" fillId="31" borderId="88" xfId="0" applyFont="1" applyFill="1" applyBorder="1" applyAlignment="1">
      <alignment horizontal="center" vertical="center" wrapText="1"/>
    </xf>
    <xf numFmtId="0" fontId="17" fillId="31" borderId="92" xfId="0" applyFont="1" applyFill="1" applyBorder="1" applyAlignment="1">
      <alignment horizontal="center" vertical="center" wrapText="1"/>
    </xf>
    <xf numFmtId="0" fontId="76" fillId="31" borderId="33" xfId="0" applyFont="1" applyFill="1" applyBorder="1" applyAlignment="1">
      <alignment horizontal="center" vertical="center" wrapText="1"/>
    </xf>
    <xf numFmtId="0" fontId="76" fillId="31" borderId="0" xfId="0" applyFont="1" applyFill="1" applyAlignment="1">
      <alignment horizontal="center" vertical="center" wrapText="1"/>
    </xf>
    <xf numFmtId="0" fontId="76" fillId="31" borderId="78" xfId="0" applyFont="1" applyFill="1" applyBorder="1" applyAlignment="1">
      <alignment horizontal="center" vertical="center" wrapText="1"/>
    </xf>
    <xf numFmtId="2" fontId="17" fillId="37" borderId="13" xfId="0" applyNumberFormat="1" applyFont="1" applyFill="1" applyBorder="1" applyAlignment="1">
      <alignment horizontal="center"/>
    </xf>
    <xf numFmtId="2" fontId="17" fillId="37" borderId="5" xfId="0" applyNumberFormat="1" applyFont="1" applyFill="1" applyBorder="1" applyAlignment="1">
      <alignment horizontal="center"/>
    </xf>
    <xf numFmtId="2" fontId="17" fillId="37" borderId="40" xfId="0" applyNumberFormat="1" applyFont="1" applyFill="1" applyBorder="1" applyAlignment="1">
      <alignment horizontal="center"/>
    </xf>
    <xf numFmtId="0" fontId="105" fillId="31" borderId="36" xfId="0" applyFont="1" applyFill="1" applyBorder="1" applyAlignment="1">
      <alignment horizontal="center"/>
    </xf>
    <xf numFmtId="0" fontId="105" fillId="31" borderId="60" xfId="0" applyFont="1" applyFill="1" applyBorder="1" applyAlignment="1">
      <alignment horizontal="center"/>
    </xf>
    <xf numFmtId="0" fontId="105" fillId="31" borderId="65" xfId="0" applyFont="1" applyFill="1" applyBorder="1" applyAlignment="1">
      <alignment horizontal="center"/>
    </xf>
    <xf numFmtId="14" fontId="105" fillId="31" borderId="41" xfId="0" applyNumberFormat="1" applyFont="1" applyFill="1" applyBorder="1" applyAlignment="1">
      <alignment horizontal="center"/>
    </xf>
    <xf numFmtId="14" fontId="105" fillId="31" borderId="45" xfId="0" applyNumberFormat="1" applyFont="1" applyFill="1" applyBorder="1" applyAlignment="1">
      <alignment horizontal="center"/>
    </xf>
    <xf numFmtId="14" fontId="105" fillId="31" borderId="76" xfId="0" applyNumberFormat="1" applyFont="1" applyFill="1" applyBorder="1" applyAlignment="1">
      <alignment horizontal="center"/>
    </xf>
    <xf numFmtId="2" fontId="20" fillId="2" borderId="36" xfId="0" applyNumberFormat="1" applyFont="1" applyFill="1" applyBorder="1" applyAlignment="1">
      <alignment horizontal="left" wrapText="1"/>
    </xf>
    <xf numFmtId="2" fontId="20" fillId="2" borderId="60" xfId="0" applyNumberFormat="1" applyFont="1" applyFill="1" applyBorder="1" applyAlignment="1">
      <alignment horizontal="left" wrapText="1"/>
    </xf>
    <xf numFmtId="2" fontId="20" fillId="2" borderId="65" xfId="0" applyNumberFormat="1" applyFont="1" applyFill="1" applyBorder="1" applyAlignment="1">
      <alignment horizontal="left" wrapText="1"/>
    </xf>
    <xf numFmtId="2" fontId="20" fillId="2" borderId="33" xfId="0" applyNumberFormat="1" applyFont="1" applyFill="1" applyBorder="1" applyAlignment="1">
      <alignment horizontal="left" wrapText="1"/>
    </xf>
    <xf numFmtId="2" fontId="20" fillId="2" borderId="0" xfId="0" applyNumberFormat="1" applyFont="1" applyFill="1" applyAlignment="1">
      <alignment horizontal="left" wrapText="1"/>
    </xf>
    <xf numFmtId="2" fontId="20" fillId="2" borderId="78" xfId="0" applyNumberFormat="1" applyFont="1" applyFill="1" applyBorder="1" applyAlignment="1">
      <alignment horizontal="left" wrapText="1"/>
    </xf>
    <xf numFmtId="2" fontId="20" fillId="2" borderId="41" xfId="0" applyNumberFormat="1" applyFont="1" applyFill="1" applyBorder="1" applyAlignment="1">
      <alignment horizontal="left" wrapText="1"/>
    </xf>
    <xf numFmtId="2" fontId="20" fillId="2" borderId="45" xfId="0" applyNumberFormat="1" applyFont="1" applyFill="1" applyBorder="1" applyAlignment="1">
      <alignment horizontal="left" wrapText="1"/>
    </xf>
    <xf numFmtId="2" fontId="20" fillId="2" borderId="76" xfId="0" applyNumberFormat="1" applyFont="1" applyFill="1" applyBorder="1" applyAlignment="1">
      <alignment horizontal="left" wrapText="1"/>
    </xf>
    <xf numFmtId="0" fontId="20" fillId="0" borderId="10" xfId="0" applyFont="1" applyBorder="1" applyAlignment="1">
      <alignment horizontal="left" wrapText="1"/>
    </xf>
    <xf numFmtId="0" fontId="20" fillId="0" borderId="0" xfId="0" applyFont="1" applyAlignment="1">
      <alignment horizontal="left" wrapText="1"/>
    </xf>
    <xf numFmtId="0" fontId="105" fillId="31" borderId="11" xfId="0" applyFont="1" applyFill="1" applyBorder="1" applyAlignment="1">
      <alignment horizontal="center"/>
    </xf>
    <xf numFmtId="0" fontId="105" fillId="31" borderId="38" xfId="0" applyFont="1" applyFill="1" applyBorder="1" applyAlignment="1">
      <alignment horizontal="center"/>
    </xf>
    <xf numFmtId="0" fontId="105" fillId="31" borderId="39" xfId="0" applyFont="1" applyFill="1" applyBorder="1" applyAlignment="1">
      <alignment horizontal="center"/>
    </xf>
    <xf numFmtId="2" fontId="17" fillId="37" borderId="29" xfId="0" applyNumberFormat="1" applyFont="1" applyFill="1" applyBorder="1" applyAlignment="1">
      <alignment horizontal="center"/>
    </xf>
    <xf numFmtId="2" fontId="17" fillId="37" borderId="43" xfId="0" applyNumberFormat="1" applyFont="1" applyFill="1" applyBorder="1" applyAlignment="1">
      <alignment horizontal="center"/>
    </xf>
    <xf numFmtId="2" fontId="17" fillId="37" borderId="44" xfId="0" applyNumberFormat="1" applyFont="1" applyFill="1" applyBorder="1" applyAlignment="1">
      <alignment horizontal="center"/>
    </xf>
    <xf numFmtId="0" fontId="0" fillId="0" borderId="9" xfId="0" applyBorder="1" applyAlignment="1">
      <alignment horizontal="left"/>
    </xf>
    <xf numFmtId="0" fontId="0" fillId="0" borderId="1" xfId="0" applyBorder="1" applyAlignment="1">
      <alignment horizontal="left"/>
    </xf>
    <xf numFmtId="0" fontId="0" fillId="0" borderId="14" xfId="0" applyBorder="1" applyAlignment="1">
      <alignment horizontal="left"/>
    </xf>
    <xf numFmtId="0" fontId="0" fillId="4" borderId="15" xfId="0" applyFill="1" applyBorder="1" applyAlignment="1">
      <alignment horizontal="left"/>
    </xf>
    <xf numFmtId="0" fontId="0" fillId="4" borderId="16" xfId="0" applyFill="1" applyBorder="1" applyAlignment="1">
      <alignment horizontal="left"/>
    </xf>
    <xf numFmtId="0" fontId="105" fillId="31" borderId="0" xfId="0" applyFont="1" applyFill="1" applyAlignment="1">
      <alignment horizontal="left"/>
    </xf>
    <xf numFmtId="0" fontId="105" fillId="31" borderId="27" xfId="0" applyFont="1" applyFill="1" applyBorder="1" applyAlignment="1">
      <alignment horizontal="left"/>
    </xf>
    <xf numFmtId="0" fontId="0" fillId="0" borderId="36" xfId="0" applyBorder="1" applyAlignment="1">
      <alignment horizontal="center"/>
    </xf>
    <xf numFmtId="0" fontId="0" fillId="0" borderId="33" xfId="0" applyBorder="1" applyAlignment="1">
      <alignment horizontal="center"/>
    </xf>
    <xf numFmtId="0" fontId="0" fillId="0" borderId="53" xfId="0" applyBorder="1" applyAlignment="1">
      <alignment horizontal="center"/>
    </xf>
    <xf numFmtId="0" fontId="0" fillId="0" borderId="10" xfId="0" applyBorder="1" applyAlignment="1">
      <alignment horizontal="center"/>
    </xf>
    <xf numFmtId="0" fontId="105" fillId="31" borderId="58" xfId="0" applyFont="1" applyFill="1" applyBorder="1" applyAlignment="1">
      <alignment horizontal="center" vertical="center" textRotation="90"/>
    </xf>
    <xf numFmtId="0" fontId="105" fillId="31" borderId="26" xfId="0" applyFont="1" applyFill="1" applyBorder="1" applyAlignment="1">
      <alignment horizontal="center" vertical="center" textRotation="90"/>
    </xf>
    <xf numFmtId="0" fontId="105" fillId="31" borderId="9" xfId="0" applyFont="1" applyFill="1" applyBorder="1" applyAlignment="1">
      <alignment horizontal="center" vertical="center" textRotation="90"/>
    </xf>
    <xf numFmtId="0" fontId="105" fillId="31" borderId="15" xfId="0" applyFont="1" applyFill="1" applyBorder="1" applyAlignment="1">
      <alignment horizontal="center" vertical="center" textRotation="90"/>
    </xf>
    <xf numFmtId="0" fontId="105" fillId="31" borderId="37" xfId="0" applyFont="1" applyFill="1" applyBorder="1" applyAlignment="1">
      <alignment horizontal="center"/>
    </xf>
    <xf numFmtId="0" fontId="0" fillId="0" borderId="16" xfId="0" applyBorder="1" applyAlignment="1">
      <alignment horizontal="left"/>
    </xf>
    <xf numFmtId="0" fontId="105" fillId="31" borderId="81" xfId="0" applyFont="1" applyFill="1" applyBorder="1" applyAlignment="1">
      <alignment horizontal="center"/>
    </xf>
    <xf numFmtId="0" fontId="92" fillId="31" borderId="87" xfId="0" applyFont="1" applyFill="1" applyBorder="1" applyAlignment="1">
      <alignment horizontal="center" vertical="center" textRotation="90"/>
    </xf>
    <xf numFmtId="0" fontId="92" fillId="31" borderId="88" xfId="0" applyFont="1" applyFill="1" applyBorder="1" applyAlignment="1">
      <alignment horizontal="center" vertical="center" textRotation="90"/>
    </xf>
    <xf numFmtId="0" fontId="92" fillId="31" borderId="92" xfId="0" applyFont="1" applyFill="1" applyBorder="1" applyAlignment="1">
      <alignment horizontal="center" vertical="center" textRotation="90"/>
    </xf>
    <xf numFmtId="0" fontId="0" fillId="2" borderId="58" xfId="0" applyFill="1" applyBorder="1" applyAlignment="1">
      <alignment horizontal="left"/>
    </xf>
    <xf numFmtId="0" fontId="0" fillId="2" borderId="59" xfId="0" applyFill="1" applyBorder="1" applyAlignment="1">
      <alignment horizontal="left"/>
    </xf>
    <xf numFmtId="0" fontId="0" fillId="0" borderId="59" xfId="0" applyBorder="1" applyAlignment="1">
      <alignment horizontal="left"/>
    </xf>
    <xf numFmtId="0" fontId="0" fillId="0" borderId="52" xfId="0" applyBorder="1" applyAlignment="1">
      <alignment horizontal="left"/>
    </xf>
    <xf numFmtId="14" fontId="105" fillId="31" borderId="0" xfId="0" applyNumberFormat="1" applyFont="1" applyFill="1" applyAlignment="1">
      <alignment horizontal="center"/>
    </xf>
    <xf numFmtId="0" fontId="92" fillId="31" borderId="78" xfId="0" applyFont="1" applyFill="1" applyBorder="1" applyAlignment="1">
      <alignment horizontal="center" vertical="center"/>
    </xf>
    <xf numFmtId="0" fontId="76" fillId="31" borderId="23" xfId="0" applyFont="1" applyFill="1" applyBorder="1" applyAlignment="1">
      <alignment horizontal="left" wrapText="1"/>
    </xf>
    <xf numFmtId="0" fontId="76" fillId="31" borderId="24" xfId="0" applyFont="1" applyFill="1" applyBorder="1" applyAlignment="1">
      <alignment horizontal="left" wrapText="1"/>
    </xf>
    <xf numFmtId="0" fontId="0" fillId="4" borderId="9" xfId="0" applyFill="1" applyBorder="1" applyAlignment="1">
      <alignment horizontal="left"/>
    </xf>
    <xf numFmtId="0" fontId="0" fillId="4" borderId="1" xfId="0" applyFill="1" applyBorder="1" applyAlignment="1">
      <alignment horizontal="left"/>
    </xf>
    <xf numFmtId="0" fontId="0" fillId="4" borderId="79" xfId="0" applyFill="1" applyBorder="1" applyAlignment="1">
      <alignment horizontal="left"/>
    </xf>
    <xf numFmtId="0" fontId="0" fillId="4" borderId="8" xfId="0" applyFill="1" applyBorder="1" applyAlignment="1">
      <alignment horizontal="left"/>
    </xf>
    <xf numFmtId="0" fontId="7" fillId="4" borderId="20" xfId="0" applyFont="1" applyFill="1" applyBorder="1" applyAlignment="1">
      <alignment horizontal="left"/>
    </xf>
    <xf numFmtId="0" fontId="7" fillId="4" borderId="21" xfId="0" applyFont="1" applyFill="1" applyBorder="1" applyAlignment="1">
      <alignment horizontal="left"/>
    </xf>
    <xf numFmtId="0" fontId="0" fillId="2" borderId="9" xfId="0" applyFill="1" applyBorder="1" applyAlignment="1" applyProtection="1">
      <alignment horizontal="left"/>
      <protection locked="0"/>
    </xf>
    <xf numFmtId="0" fontId="0" fillId="2" borderId="1" xfId="0" applyFill="1" applyBorder="1" applyAlignment="1" applyProtection="1">
      <alignment horizontal="left"/>
      <protection locked="0"/>
    </xf>
    <xf numFmtId="0" fontId="85" fillId="31" borderId="84" xfId="0" applyFont="1" applyFill="1" applyBorder="1" applyAlignment="1">
      <alignment horizontal="left"/>
    </xf>
    <xf numFmtId="0" fontId="85" fillId="31" borderId="83" xfId="0" applyFont="1" applyFill="1" applyBorder="1" applyAlignment="1">
      <alignment horizontal="left"/>
    </xf>
    <xf numFmtId="0" fontId="14" fillId="35" borderId="26" xfId="0" applyFont="1" applyFill="1" applyBorder="1" applyAlignment="1">
      <alignment horizontal="left" vertical="center" wrapText="1"/>
    </xf>
    <xf numFmtId="0" fontId="14" fillId="35" borderId="12" xfId="0" applyFont="1" applyFill="1" applyBorder="1" applyAlignment="1">
      <alignment horizontal="left" vertical="center" wrapText="1"/>
    </xf>
    <xf numFmtId="0" fontId="14" fillId="35" borderId="18" xfId="0" applyFont="1" applyFill="1" applyBorder="1" applyAlignment="1">
      <alignment horizontal="left" vertical="center" wrapText="1"/>
    </xf>
    <xf numFmtId="0" fontId="88" fillId="31" borderId="9" xfId="0" applyFont="1" applyFill="1" applyBorder="1" applyAlignment="1">
      <alignment horizontal="left"/>
    </xf>
    <xf numFmtId="0" fontId="88" fillId="31" borderId="1" xfId="0" applyFont="1" applyFill="1" applyBorder="1" applyAlignment="1">
      <alignment horizontal="left"/>
    </xf>
    <xf numFmtId="0" fontId="88" fillId="31" borderId="14" xfId="0" applyFont="1" applyFill="1" applyBorder="1" applyAlignment="1">
      <alignment horizontal="left"/>
    </xf>
    <xf numFmtId="0" fontId="97" fillId="31" borderId="58" xfId="0" applyFont="1" applyFill="1" applyBorder="1" applyAlignment="1">
      <alignment horizontal="center"/>
    </xf>
    <xf numFmtId="0" fontId="97" fillId="31" borderId="59" xfId="0" applyFont="1" applyFill="1" applyBorder="1" applyAlignment="1">
      <alignment horizontal="center"/>
    </xf>
    <xf numFmtId="0" fontId="97" fillId="31" borderId="52" xfId="0" applyFont="1" applyFill="1" applyBorder="1" applyAlignment="1">
      <alignment horizontal="center"/>
    </xf>
    <xf numFmtId="0" fontId="0" fillId="5" borderId="9" xfId="0" applyFill="1" applyBorder="1" applyAlignment="1">
      <alignment horizontal="left"/>
    </xf>
    <xf numFmtId="0" fontId="85" fillId="31" borderId="9" xfId="0" applyFont="1" applyFill="1" applyBorder="1" applyAlignment="1">
      <alignment horizontal="left"/>
    </xf>
    <xf numFmtId="0" fontId="85" fillId="31" borderId="1" xfId="0" applyFont="1" applyFill="1" applyBorder="1" applyAlignment="1">
      <alignment horizontal="left"/>
    </xf>
    <xf numFmtId="0" fontId="85" fillId="31" borderId="14" xfId="0" applyFont="1" applyFill="1" applyBorder="1" applyAlignment="1">
      <alignment horizontal="left"/>
    </xf>
    <xf numFmtId="0" fontId="0" fillId="0" borderId="0" xfId="0" applyAlignment="1">
      <alignment wrapText="1"/>
    </xf>
    <xf numFmtId="0" fontId="0" fillId="5" borderId="1" xfId="0" applyFill="1" applyBorder="1" applyAlignment="1">
      <alignment horizontal="center"/>
    </xf>
    <xf numFmtId="0" fontId="13" fillId="0" borderId="10" xfId="0" applyFont="1" applyBorder="1" applyAlignment="1">
      <alignment horizontal="left" wrapText="1"/>
    </xf>
    <xf numFmtId="0" fontId="0" fillId="2" borderId="11"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0" fillId="2" borderId="13" xfId="0" applyFill="1" applyBorder="1" applyAlignment="1" applyProtection="1">
      <alignment horizontal="left"/>
      <protection locked="0"/>
    </xf>
    <xf numFmtId="0" fontId="0" fillId="2" borderId="6" xfId="0" applyFill="1" applyBorder="1" applyAlignment="1" applyProtection="1">
      <alignment horizontal="left"/>
      <protection locked="0"/>
    </xf>
    <xf numFmtId="0" fontId="15" fillId="4" borderId="4" xfId="0" applyFont="1" applyFill="1" applyBorder="1" applyAlignment="1">
      <alignment horizontal="center"/>
    </xf>
    <xf numFmtId="0" fontId="15" fillId="4" borderId="5" xfId="0" applyFont="1" applyFill="1" applyBorder="1" applyAlignment="1">
      <alignment horizontal="center"/>
    </xf>
    <xf numFmtId="0" fontId="15" fillId="4" borderId="6" xfId="0" applyFont="1" applyFill="1" applyBorder="1" applyAlignment="1">
      <alignment horizontal="center"/>
    </xf>
    <xf numFmtId="0" fontId="0" fillId="4" borderId="4" xfId="0" applyFill="1" applyBorder="1" applyAlignment="1">
      <alignment horizontal="left" wrapText="1"/>
    </xf>
    <xf numFmtId="0" fontId="0" fillId="4" borderId="5" xfId="0" applyFill="1" applyBorder="1" applyAlignment="1">
      <alignment horizontal="left" wrapText="1"/>
    </xf>
    <xf numFmtId="0" fontId="0" fillId="4" borderId="6" xfId="0" applyFill="1" applyBorder="1" applyAlignment="1">
      <alignment horizontal="left" wrapText="1"/>
    </xf>
    <xf numFmtId="0" fontId="13" fillId="5" borderId="4" xfId="0" applyFont="1" applyFill="1" applyBorder="1" applyAlignment="1">
      <alignment horizontal="left" vertical="center" wrapText="1"/>
    </xf>
    <xf numFmtId="0" fontId="13" fillId="5" borderId="6" xfId="0" applyFont="1" applyFill="1" applyBorder="1" applyAlignment="1">
      <alignment horizontal="left" vertical="center" wrapText="1"/>
    </xf>
    <xf numFmtId="0" fontId="10" fillId="5" borderId="8" xfId="0" applyFont="1" applyFill="1" applyBorder="1" applyAlignment="1">
      <alignment horizontal="center" vertical="center" textRotation="90" wrapText="1"/>
    </xf>
    <xf numFmtId="0" fontId="10" fillId="5" borderId="35" xfId="0" applyFont="1" applyFill="1" applyBorder="1" applyAlignment="1">
      <alignment horizontal="center" vertical="center" textRotation="90" wrapText="1"/>
    </xf>
    <xf numFmtId="0" fontId="10" fillId="5" borderId="12" xfId="0" applyFont="1" applyFill="1" applyBorder="1" applyAlignment="1">
      <alignment horizontal="center" vertical="center" textRotation="90" wrapText="1"/>
    </xf>
    <xf numFmtId="0" fontId="0" fillId="5" borderId="6" xfId="0" applyFill="1" applyBorder="1" applyAlignment="1">
      <alignment horizontal="left" vertical="center"/>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6" xfId="0" applyFill="1" applyBorder="1" applyAlignment="1">
      <alignment horizontal="left" vertical="center"/>
    </xf>
    <xf numFmtId="0" fontId="0" fillId="2" borderId="29"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7" fillId="4" borderId="23" xfId="0" applyFont="1" applyFill="1" applyBorder="1" applyAlignment="1">
      <alignment horizontal="left" wrapText="1"/>
    </xf>
    <xf numFmtId="0" fontId="7" fillId="4" borderId="28" xfId="0" applyFont="1" applyFill="1" applyBorder="1" applyAlignment="1">
      <alignment horizontal="left" wrapText="1"/>
    </xf>
    <xf numFmtId="1" fontId="137" fillId="0" borderId="0" xfId="374" applyNumberFormat="1" applyFont="1" applyAlignment="1">
      <alignment horizontal="center"/>
    </xf>
    <xf numFmtId="0" fontId="59" fillId="4" borderId="23" xfId="374" applyFont="1" applyFill="1" applyBorder="1" applyAlignment="1">
      <alignment horizontal="center"/>
    </xf>
    <xf numFmtId="0" fontId="59" fillId="4" borderId="24" xfId="374" applyFont="1" applyFill="1" applyBorder="1" applyAlignment="1">
      <alignment horizontal="center"/>
    </xf>
    <xf numFmtId="0" fontId="59" fillId="4" borderId="25" xfId="374" applyFont="1" applyFill="1" applyBorder="1" applyAlignment="1">
      <alignment horizontal="center"/>
    </xf>
    <xf numFmtId="0" fontId="47" fillId="0" borderId="62" xfId="374" applyFont="1" applyBorder="1" applyAlignment="1">
      <alignment horizontal="left"/>
    </xf>
    <xf numFmtId="0" fontId="47" fillId="0" borderId="27" xfId="374" applyFont="1" applyBorder="1" applyAlignment="1">
      <alignment horizontal="left"/>
    </xf>
    <xf numFmtId="0" fontId="47" fillId="21" borderId="11" xfId="374" applyFont="1" applyFill="1" applyBorder="1" applyAlignment="1">
      <alignment horizontal="left"/>
    </xf>
    <xf numFmtId="0" fontId="47" fillId="21" borderId="38" xfId="374" applyFont="1" applyFill="1" applyBorder="1" applyAlignment="1">
      <alignment horizontal="left"/>
    </xf>
    <xf numFmtId="0" fontId="47" fillId="16" borderId="13" xfId="374" applyFont="1" applyFill="1" applyBorder="1" applyAlignment="1">
      <alignment horizontal="left"/>
    </xf>
    <xf numFmtId="0" fontId="47" fillId="16" borderId="5" xfId="374" applyFont="1" applyFill="1" applyBorder="1" applyAlignment="1">
      <alignment horizontal="left"/>
    </xf>
    <xf numFmtId="0" fontId="47" fillId="3" borderId="62" xfId="374" applyFont="1" applyFill="1" applyBorder="1" applyAlignment="1">
      <alignment horizontal="left"/>
    </xf>
    <xf numFmtId="0" fontId="47" fillId="3" borderId="27" xfId="374" applyFont="1" applyFill="1" applyBorder="1" applyAlignment="1">
      <alignment horizontal="left"/>
    </xf>
    <xf numFmtId="0" fontId="47" fillId="14" borderId="5" xfId="374" applyFont="1" applyFill="1" applyBorder="1" applyAlignment="1">
      <alignment horizontal="right"/>
    </xf>
    <xf numFmtId="0" fontId="47" fillId="14" borderId="40" xfId="374" applyFont="1" applyFill="1" applyBorder="1" applyAlignment="1">
      <alignment horizontal="right"/>
    </xf>
    <xf numFmtId="0" fontId="69" fillId="25" borderId="5" xfId="0" applyFont="1" applyFill="1" applyBorder="1" applyAlignment="1">
      <alignment horizontal="right"/>
    </xf>
    <xf numFmtId="0" fontId="69" fillId="25" borderId="47" xfId="0" applyFont="1" applyFill="1" applyBorder="1" applyAlignment="1">
      <alignment horizontal="right"/>
    </xf>
    <xf numFmtId="0" fontId="47" fillId="4" borderId="5" xfId="374" applyFont="1" applyFill="1" applyBorder="1" applyAlignment="1">
      <alignment horizontal="right"/>
    </xf>
    <xf numFmtId="0" fontId="89" fillId="31" borderId="5" xfId="0" applyFont="1" applyFill="1" applyBorder="1" applyAlignment="1">
      <alignment horizontal="center"/>
    </xf>
    <xf numFmtId="175" fontId="89" fillId="31" borderId="5" xfId="0" applyNumberFormat="1" applyFont="1" applyFill="1" applyBorder="1" applyAlignment="1">
      <alignment horizontal="center"/>
    </xf>
    <xf numFmtId="0" fontId="50" fillId="4" borderId="5" xfId="372" applyFont="1" applyFill="1" applyBorder="1" applyAlignment="1" applyProtection="1">
      <alignment horizontal="center"/>
      <protection locked="0"/>
    </xf>
    <xf numFmtId="0" fontId="50" fillId="4" borderId="6" xfId="372" applyFont="1" applyFill="1" applyBorder="1" applyAlignment="1" applyProtection="1">
      <alignment horizontal="center"/>
      <protection locked="0"/>
    </xf>
    <xf numFmtId="0" fontId="23" fillId="0" borderId="11" xfId="372" applyFont="1" applyBorder="1" applyAlignment="1">
      <alignment horizontal="center"/>
    </xf>
    <xf numFmtId="0" fontId="23" fillId="0" borderId="38" xfId="372" applyFont="1" applyBorder="1" applyAlignment="1">
      <alignment horizontal="center"/>
    </xf>
    <xf numFmtId="0" fontId="23" fillId="0" borderId="39" xfId="372" applyFont="1" applyBorder="1" applyAlignment="1">
      <alignment horizontal="center"/>
    </xf>
  </cellXfs>
  <cellStyles count="539">
    <cellStyle name="12" xfId="375" xr:uid="{00000000-0005-0000-0000-000000000000}"/>
    <cellStyle name="14" xfId="376" xr:uid="{00000000-0005-0000-0000-000001000000}"/>
    <cellStyle name="9" xfId="377" xr:uid="{00000000-0005-0000-0000-000002000000}"/>
    <cellStyle name="9 2" xfId="538" xr:uid="{D414E0D3-E403-2049-ABCF-02C17D11F59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5" builtinId="9" hidden="1"/>
    <cellStyle name="Besøgt link" xfId="347" builtinId="9" hidden="1"/>
    <cellStyle name="Besøgt link" xfId="349" builtinId="9" hidden="1"/>
    <cellStyle name="Besøgt link" xfId="351" builtinId="9" hidden="1"/>
    <cellStyle name="Besøgt link" xfId="353" builtinId="9" hidden="1"/>
    <cellStyle name="Besøgt link" xfId="355" builtinId="9" hidden="1"/>
    <cellStyle name="Besøgt link" xfId="357" builtinId="9" hidden="1"/>
    <cellStyle name="Besøgt link" xfId="359" builtinId="9" hidden="1"/>
    <cellStyle name="Besøgt link" xfId="361" builtinId="9" hidden="1"/>
    <cellStyle name="Besøgt link" xfId="363" builtinId="9" hidden="1"/>
    <cellStyle name="Besøgt link" xfId="365" builtinId="9" hidden="1"/>
    <cellStyle name="Besøgt link" xfId="367" builtinId="9" hidden="1"/>
    <cellStyle name="Besøgt link" xfId="369" builtinId="9" hidden="1"/>
    <cellStyle name="Besøgt link" xfId="371"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7" builtinId="9" hidden="1"/>
    <cellStyle name="Besøgt link" xfId="509" builtinId="9" hidden="1"/>
    <cellStyle name="Besøgt link" xfId="511" builtinId="9" hidden="1"/>
    <cellStyle name="Besøgt link" xfId="513" builtinId="9" hidden="1"/>
    <cellStyle name="Besøgt link" xfId="515" builtinId="9" hidden="1"/>
    <cellStyle name="Besøgt link" xfId="517" builtinId="9" hidden="1"/>
    <cellStyle name="Besøgt link" xfId="519" builtinId="9" hidden="1"/>
    <cellStyle name="Besøgt link" xfId="521" builtinId="9" hidden="1"/>
    <cellStyle name="Besøgt link" xfId="523" builtinId="9" hidden="1"/>
    <cellStyle name="Besøgt link" xfId="525" builtinId="9" hidden="1"/>
    <cellStyle name="Besøgt link" xfId="527" builtinId="9" hidden="1"/>
    <cellStyle name="Besøgt link" xfId="529" builtinId="9" hidden="1"/>
    <cellStyle name="Besøgt link" xfId="531" builtinId="9" hidden="1"/>
    <cellStyle name="Besøgt link" xfId="533" builtinId="9" hidden="1"/>
    <cellStyle name="Besøgt link" xfId="535" builtinId="9" hidden="1"/>
    <cellStyle name="Besøgt link" xfId="537" builtinId="9" hidden="1"/>
    <cellStyle name="Chicago" xfId="378" xr:uid="{00000000-0005-0000-0000-000003010000}"/>
    <cellStyle name="Comma [0]_Halvårskalender 1999/00" xfId="379" xr:uid="{00000000-0005-0000-0000-000004010000}"/>
    <cellStyle name="Comma_Halvårskalender 1999/00" xfId="380" xr:uid="{00000000-0005-0000-0000-000005010000}"/>
    <cellStyle name="courier" xfId="381" xr:uid="{00000000-0005-0000-0000-000006010000}"/>
    <cellStyle name="Currency [0]_Halvårskalender 1999/00" xfId="382" xr:uid="{00000000-0005-0000-0000-000007010000}"/>
    <cellStyle name="Currency_Halvårskalender 1999/00" xfId="383" xr:uid="{00000000-0005-0000-0000-000008010000}"/>
    <cellStyle name="Followed Hyperlink" xfId="384" xr:uid="{00000000-0005-0000-0000-000009010000}"/>
    <cellStyle name="Komma" xfId="343" builtinId="3"/>
    <cellStyle name="komma0" xfId="385" xr:uid="{00000000-0005-0000-0000-00000B020000}"/>
    <cellStyle name="komma1" xfId="386" xr:uid="{00000000-0005-0000-0000-00000C020000}"/>
    <cellStyle name="komma2" xfId="387" xr:uid="{00000000-0005-0000-0000-00000D020000}"/>
    <cellStyle name="komma4" xfId="388" xr:uid="{00000000-0005-0000-0000-00000E020000}"/>
    <cellStyle name="kr" xfId="389" xr:uid="{00000000-0005-0000-0000-00000F02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4" builtinId="8" hidden="1"/>
    <cellStyle name="Link" xfId="346" builtinId="8" hidden="1"/>
    <cellStyle name="Link" xfId="348"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Normal" xfId="0" builtinId="0"/>
    <cellStyle name="Normal 2" xfId="372" xr:uid="{00000000-0005-0000-0000-000011020000}"/>
    <cellStyle name="Normal_Halvårskalender 1999/00" xfId="373" xr:uid="{00000000-0005-0000-0000-000012020000}"/>
    <cellStyle name="Normal_Vejledning98" xfId="505" xr:uid="{00000000-0005-0000-0000-000013020000}"/>
    <cellStyle name="Normal_År" xfId="374" xr:uid="{00000000-0005-0000-0000-000014020000}"/>
    <cellStyle name="prc0" xfId="390" xr:uid="{00000000-0005-0000-0000-000015020000}"/>
    <cellStyle name="prc1" xfId="391" xr:uid="{00000000-0005-0000-0000-000016020000}"/>
    <cellStyle name="prc2" xfId="392" xr:uid="{00000000-0005-0000-0000-000017020000}"/>
    <cellStyle name="skkode" xfId="393" xr:uid="{00000000-0005-0000-0000-000018020000}"/>
    <cellStyle name="skygget" xfId="394" xr:uid="{00000000-0005-0000-0000-000019020000}"/>
  </cellStyles>
  <dxfs count="890">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1"/>
      </font>
      <fill>
        <patternFill>
          <bgColor theme="4" tint="0.7999816888943144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0"/>
      </font>
      <fill>
        <patternFill>
          <bgColor theme="1"/>
        </patternFill>
      </fill>
    </dxf>
    <dxf>
      <font>
        <color theme="1"/>
      </font>
      <fill>
        <patternFill>
          <bgColor theme="7" tint="0.39994506668294322"/>
        </patternFill>
      </fill>
    </dxf>
    <dxf>
      <font>
        <color theme="0"/>
      </font>
      <fill>
        <patternFill>
          <bgColor theme="4" tint="-0.24994659260841701"/>
        </patternFill>
      </fill>
    </dxf>
    <dxf>
      <font>
        <color theme="1"/>
      </font>
      <fill>
        <patternFill>
          <bgColor theme="0" tint="-0.14996795556505021"/>
        </patternFill>
      </fill>
    </dxf>
    <dxf>
      <font>
        <color theme="0"/>
      </font>
      <fill>
        <patternFill>
          <bgColor theme="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1"/>
      </font>
      <fill>
        <patternFill>
          <bgColor theme="4" tint="0.7999816888943144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0"/>
      </font>
      <fill>
        <patternFill>
          <bgColor theme="1"/>
        </patternFill>
      </fill>
    </dxf>
    <dxf>
      <font>
        <color theme="1"/>
      </font>
      <fill>
        <patternFill>
          <bgColor theme="7" tint="0.39994506668294322"/>
        </patternFill>
      </fill>
    </dxf>
    <dxf>
      <font>
        <color theme="0"/>
      </font>
      <fill>
        <patternFill>
          <bgColor theme="4" tint="-0.24994659260841701"/>
        </patternFill>
      </fill>
    </dxf>
    <dxf>
      <font>
        <color theme="1"/>
      </font>
      <fill>
        <patternFill>
          <bgColor theme="0" tint="-0.14996795556505021"/>
        </patternFill>
      </fill>
    </dxf>
    <dxf>
      <font>
        <color theme="0"/>
      </font>
      <fill>
        <patternFill>
          <bgColor theme="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4" tint="-0.24994659260841701"/>
        </patternFill>
      </fill>
    </dxf>
    <dxf>
      <font>
        <color theme="1"/>
      </font>
      <fill>
        <patternFill>
          <bgColor rgb="FFFFFF00"/>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fgColor indexed="64"/>
          <bgColor theme="4" tint="0.79998168889431442"/>
        </patternFill>
      </fill>
    </dxf>
    <dxf>
      <font>
        <color theme="1"/>
      </font>
      <fill>
        <patternFill>
          <bgColor theme="5" tint="0.59996337778862885"/>
        </patternFill>
      </fill>
    </dxf>
    <dxf>
      <font>
        <color theme="0"/>
      </font>
      <fill>
        <patternFill patternType="solid">
          <fgColor indexed="64"/>
          <bgColor theme="6" tint="-0.2499465926084170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theme="8" tint="0.59996337778862885"/>
        </patternFill>
      </fill>
    </dxf>
    <dxf>
      <font>
        <color theme="0"/>
      </font>
      <fill>
        <patternFill>
          <bgColor theme="1"/>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fgColor indexed="64"/>
          <bgColor theme="4" tint="0.79998168889431442"/>
        </patternFill>
      </fill>
    </dxf>
    <dxf>
      <font>
        <color theme="0"/>
      </font>
      <fill>
        <patternFill>
          <bgColor theme="1"/>
        </patternFill>
      </fill>
    </dxf>
    <dxf>
      <font>
        <color theme="0"/>
      </font>
      <fill>
        <patternFill patternType="solid">
          <fgColor auto="1"/>
          <bgColor theme="6"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4"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0"/>
      </font>
      <fill>
        <patternFill>
          <bgColor theme="4" tint="0.39994506668294322"/>
        </patternFill>
      </fill>
    </dxf>
    <dxf>
      <font>
        <color theme="1"/>
      </font>
      <fill>
        <patternFill>
          <fgColor auto="1"/>
          <bgColor theme="4" tint="0.59996337778862885"/>
        </patternFill>
      </fill>
    </dxf>
    <dxf>
      <font>
        <color theme="1"/>
      </font>
      <fill>
        <patternFill>
          <bgColor theme="0" tint="-0.14996795556505021"/>
        </patternFill>
      </fill>
    </dxf>
    <dxf>
      <font>
        <color theme="1"/>
      </font>
      <fill>
        <patternFill>
          <bgColor theme="7"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0"/>
      </font>
      <fill>
        <patternFill>
          <bgColor theme="4" tint="-0.24994659260841701"/>
        </patternFill>
      </fill>
    </dxf>
    <dxf>
      <font>
        <color theme="0"/>
      </font>
      <fill>
        <patternFill>
          <bgColor theme="6" tint="-0.24994659260841701"/>
        </patternFill>
      </fill>
    </dxf>
    <dxf>
      <font>
        <color theme="1"/>
      </font>
      <fill>
        <patternFill>
          <bgColor theme="6" tint="0.39994506668294322"/>
        </patternFill>
      </fill>
    </dxf>
    <dxf>
      <font>
        <color theme="1"/>
      </font>
      <fill>
        <patternFill>
          <bgColor theme="9" tint="0.79998168889431442"/>
        </patternFill>
      </fill>
    </dxf>
    <dxf>
      <font>
        <color theme="1"/>
      </font>
      <fill>
        <patternFill>
          <bgColor theme="5" tint="0.59996337778862885"/>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0"/>
      </font>
      <fill>
        <patternFill patternType="solid">
          <bgColor theme="4" tint="0.39994506668294322"/>
        </patternFill>
      </fill>
    </dxf>
    <dxf>
      <font>
        <color theme="1"/>
      </font>
      <fill>
        <patternFill>
          <bgColor rgb="FFFF2F82"/>
        </patternFill>
      </fill>
    </dxf>
    <dxf>
      <font>
        <color theme="1"/>
      </font>
      <fill>
        <patternFill patternType="solid">
          <bgColor theme="4"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patternType="solid">
          <bgColor theme="4" tint="0.79998168889431442"/>
        </patternFill>
      </fill>
    </dxf>
    <dxf>
      <font>
        <color theme="0"/>
      </font>
      <fill>
        <patternFill>
          <bgColor theme="1"/>
        </patternFill>
      </fill>
    </dxf>
    <dxf>
      <font>
        <color theme="1"/>
      </font>
      <fill>
        <patternFill>
          <bgColor theme="0" tint="-0.14996795556505021"/>
        </patternFill>
      </fill>
    </dxf>
    <dxf>
      <font>
        <color theme="1"/>
      </font>
      <fill>
        <patternFill>
          <bgColor theme="9" tint="0.59996337778862885"/>
        </patternFill>
      </fill>
    </dxf>
    <dxf>
      <font>
        <color theme="1"/>
      </font>
      <fill>
        <patternFill>
          <bgColor theme="5" tint="0.59996337778862885"/>
        </patternFill>
      </fill>
    </dxf>
    <dxf>
      <font>
        <color theme="1"/>
      </font>
      <fill>
        <patternFill patternType="solid">
          <fgColor indexed="64"/>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1"/>
      </font>
      <fill>
        <patternFill>
          <bgColor theme="6" tint="0.39994506668294322"/>
        </patternFill>
      </fill>
    </dxf>
    <dxf>
      <font>
        <color theme="0"/>
      </font>
      <fill>
        <patternFill patternType="solid">
          <fgColor indexed="64"/>
          <bgColor theme="6"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4" tint="-0.24994659260841701"/>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rgb="FFFF2F82"/>
        </patternFill>
      </fill>
    </dxf>
    <dxf>
      <font>
        <color theme="1"/>
      </font>
      <fill>
        <patternFill>
          <bgColor theme="5" tint="0.59996337778862885"/>
        </patternFill>
      </fill>
    </dxf>
    <dxf>
      <font>
        <color theme="1"/>
      </font>
      <fill>
        <patternFill>
          <bgColor theme="5" tint="0.79998168889431442"/>
        </patternFill>
      </fill>
    </dxf>
    <dxf>
      <font>
        <color theme="1"/>
      </font>
      <fill>
        <patternFill>
          <bgColor theme="8" tint="0.59996337778862885"/>
        </patternFill>
      </fill>
    </dxf>
    <dxf>
      <font>
        <color theme="0"/>
      </font>
      <fill>
        <patternFill>
          <bgColor theme="1"/>
        </patternFill>
      </fill>
    </dxf>
    <dxf>
      <font>
        <color theme="1"/>
      </font>
      <fill>
        <patternFill>
          <bgColor theme="7" tint="0.39994506668294322"/>
        </patternFill>
      </fill>
    </dxf>
    <dxf>
      <font>
        <color theme="1"/>
      </font>
      <fill>
        <patternFill>
          <bgColor rgb="FFFFFF00"/>
        </patternFill>
      </fill>
    </dxf>
    <dxf>
      <font>
        <color theme="0"/>
      </font>
      <fill>
        <patternFill>
          <bgColor theme="1"/>
        </patternFill>
      </fill>
    </dxf>
    <dxf>
      <font>
        <color theme="1"/>
      </font>
      <fill>
        <patternFill>
          <bgColor theme="8" tint="0.59996337778862885"/>
        </patternFill>
      </fill>
    </dxf>
    <dxf>
      <font>
        <color theme="0"/>
      </font>
      <fill>
        <patternFill patternType="solid">
          <bgColor theme="6" tint="-0.2499465926084170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1"/>
        </patternFill>
      </fill>
    </dxf>
    <dxf>
      <font>
        <color theme="1"/>
      </font>
      <fill>
        <patternFill>
          <bgColor rgb="FFFF2F8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0"/>
      </font>
      <fill>
        <patternFill>
          <bgColor theme="1"/>
        </patternFill>
      </fill>
    </dxf>
    <dxf>
      <font>
        <color theme="1"/>
      </font>
      <fill>
        <patternFill>
          <bgColor rgb="FFFFFF00"/>
        </patternFill>
      </fill>
    </dxf>
    <dxf>
      <font>
        <color theme="1"/>
      </font>
      <fill>
        <patternFill>
          <bgColor theme="5" tint="0.79998168889431442"/>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patternType="solid">
          <bgColor theme="6" tint="-0.24994659260841701"/>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ill>
        <patternFill>
          <bgColor rgb="FFFFFF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patternType="none">
          <bgColor auto="1"/>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3"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5" tint="0.79998168889431442"/>
        </patternFill>
      </fill>
    </dxf>
    <dxf>
      <font>
        <color theme="1"/>
      </font>
      <fill>
        <patternFill>
          <bgColor rgb="FFFF2F8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7" tint="0.39994506668294322"/>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bgColor theme="6" tint="-0.24994659260841701"/>
        </patternFill>
      </fill>
    </dxf>
    <dxf>
      <font>
        <color theme="1"/>
      </font>
      <fill>
        <patternFill>
          <bgColor theme="0" tint="-0.14996795556505021"/>
        </patternFill>
      </fill>
    </dxf>
    <dxf>
      <font>
        <color theme="1"/>
      </font>
      <fill>
        <patternFill patternType="none">
          <bgColor auto="1"/>
        </patternFill>
      </fill>
    </dxf>
    <dxf>
      <font>
        <color theme="1"/>
      </font>
      <fill>
        <patternFill>
          <bgColor rgb="FFFF2F8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7" tint="0.39994506668294322"/>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bgColor theme="6" tint="-0.24994659260841701"/>
        </patternFill>
      </fill>
    </dxf>
    <dxf>
      <font>
        <color theme="1"/>
      </font>
      <fill>
        <patternFill>
          <bgColor theme="0" tint="-0.14996795556505021"/>
        </patternFill>
      </fill>
    </dxf>
    <dxf>
      <font>
        <color theme="1"/>
      </font>
      <fill>
        <patternFill patternType="none">
          <bgColor auto="1"/>
        </patternFill>
      </fill>
    </dxf>
    <dxf>
      <font>
        <color theme="1"/>
      </font>
      <fill>
        <patternFill>
          <bgColor rgb="FFFF2F8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1"/>
      </font>
      <fill>
        <patternFill>
          <bgColor theme="3" tint="0.59996337778862885"/>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rgb="FFFF2F82"/>
        </patternFill>
      </fill>
    </dxf>
    <dxf>
      <font>
        <color theme="1"/>
      </font>
      <fill>
        <patternFill>
          <bgColor rgb="FFFFFF00"/>
        </patternFill>
      </fill>
    </dxf>
    <dxf>
      <font>
        <color theme="1"/>
      </font>
      <fill>
        <patternFill>
          <bgColor theme="6" tint="0.3999450666829432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4" tint="0.79998168889431442"/>
        </patternFill>
      </fill>
    </dxf>
    <dxf>
      <font>
        <color theme="1"/>
      </font>
      <fill>
        <patternFill>
          <bgColor theme="0" tint="-0.14996795556505021"/>
        </patternFill>
      </fill>
    </dxf>
    <dxf>
      <font>
        <color theme="1"/>
      </font>
      <fill>
        <patternFill patternType="none">
          <bgColor auto="1"/>
        </patternFill>
      </fill>
    </dxf>
    <dxf>
      <font>
        <color theme="1"/>
      </font>
      <fill>
        <patternFill>
          <bgColor rgb="FFFF2F82"/>
        </patternFill>
      </fill>
    </dxf>
    <dxf>
      <fill>
        <patternFill>
          <bgColor rgb="FFFFFF00"/>
        </patternFill>
      </fill>
    </dxf>
    <dxf>
      <fill>
        <patternFill>
          <bgColor theme="0" tint="-0.24994659260841701"/>
        </patternFill>
      </fill>
    </dxf>
    <dxf>
      <fill>
        <patternFill>
          <bgColor theme="0" tint="-4.9989318521683403E-2"/>
        </patternFill>
      </fill>
    </dxf>
    <dxf>
      <fill>
        <patternFill>
          <fgColor theme="1"/>
          <bgColor theme="0" tint="-4.9989318521683403E-2"/>
        </patternFill>
      </fill>
    </dxf>
    <dxf>
      <fill>
        <patternFill>
          <fgColor theme="1"/>
          <bgColor theme="0" tint="-0.24994659260841701"/>
        </patternFill>
      </fill>
    </dxf>
    <dxf>
      <fill>
        <patternFill>
          <bgColor rgb="FFFFFF00"/>
        </patternFill>
      </fill>
    </dxf>
    <dxf>
      <fill>
        <patternFill>
          <bgColor theme="0" tint="-4.9989318521683403E-2"/>
        </patternFill>
      </fill>
    </dxf>
    <dxf>
      <fill>
        <patternFill>
          <bgColor theme="0" tint="-0.24994659260841701"/>
        </patternFill>
      </fill>
    </dxf>
    <dxf>
      <fill>
        <patternFill>
          <fgColor theme="1"/>
          <bgColor theme="0" tint="-0.24994659260841701"/>
        </patternFill>
      </fill>
    </dxf>
    <dxf>
      <fill>
        <patternFill>
          <fgColor theme="1"/>
          <bgColor theme="0" tint="-4.9989318521683403E-2"/>
        </patternFill>
      </fill>
    </dxf>
    <dxf>
      <fill>
        <patternFill>
          <bgColor rgb="FFFFFF00"/>
        </patternFill>
      </fill>
    </dxf>
    <dxf>
      <fill>
        <patternFill>
          <bgColor theme="0" tint="-4.9989318521683403E-2"/>
        </patternFill>
      </fill>
    </dxf>
    <dxf>
      <fill>
        <patternFill>
          <bgColor theme="0" tint="-0.24994659260841701"/>
        </patternFill>
      </fill>
    </dxf>
    <dxf>
      <fill>
        <patternFill>
          <fgColor theme="1"/>
          <bgColor theme="0" tint="-0.24994659260841701"/>
        </patternFill>
      </fill>
    </dxf>
    <dxf>
      <fill>
        <patternFill>
          <fgColor theme="1"/>
          <bgColor theme="0" tint="-4.9989318521683403E-2"/>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4.9989318521683403E-2"/>
        </patternFill>
      </fill>
    </dxf>
    <dxf>
      <fill>
        <patternFill>
          <fgColor theme="1"/>
          <bgColor theme="0" tint="-0.24994659260841701"/>
        </patternFill>
      </fill>
    </dxf>
    <dxf>
      <fill>
        <patternFill>
          <fgColor theme="1"/>
          <bgColor theme="0" tint="-4.9989318521683403E-2"/>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theme="1"/>
        </patternFill>
      </fill>
    </dxf>
  </dxfs>
  <tableStyles count="0" defaultTableStyle="TableStyleMedium9" defaultPivotStyle="PivotStyleMedium4"/>
  <colors>
    <mruColors>
      <color rgb="FFFF2F82"/>
      <color rgb="FFF6FF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108548</xdr:colOff>
      <xdr:row>14</xdr:row>
      <xdr:rowOff>67106</xdr:rowOff>
    </xdr:from>
    <xdr:to>
      <xdr:col>0</xdr:col>
      <xdr:colOff>694702</xdr:colOff>
      <xdr:row>15</xdr:row>
      <xdr:rowOff>8374</xdr:rowOff>
    </xdr:to>
    <xdr:pic>
      <xdr:nvPicPr>
        <xdr:cNvPr id="2" name="Billede 1">
          <a:extLst>
            <a:ext uri="{FF2B5EF4-FFF2-40B4-BE49-F238E27FC236}">
              <a16:creationId xmlns:a16="http://schemas.microsoft.com/office/drawing/2014/main" id="{64A50081-8565-084C-A798-17934AC7985B}"/>
            </a:ext>
          </a:extLst>
        </xdr:cNvPr>
        <xdr:cNvPicPr>
          <a:picLocks noChangeAspect="1"/>
        </xdr:cNvPicPr>
      </xdr:nvPicPr>
      <xdr:blipFill>
        <a:blip xmlns:r="http://schemas.openxmlformats.org/officeDocument/2006/relationships" r:embed="rId1"/>
        <a:stretch>
          <a:fillRect/>
        </a:stretch>
      </xdr:blipFill>
      <xdr:spPr>
        <a:xfrm>
          <a:off x="108548" y="3323516"/>
          <a:ext cx="586154" cy="364602"/>
        </a:xfrm>
        <a:prstGeom prst="rect">
          <a:avLst/>
        </a:prstGeom>
      </xdr:spPr>
    </xdr:pic>
    <xdr:clientData/>
  </xdr:twoCellAnchor>
  <xdr:twoCellAnchor editAs="oneCell">
    <xdr:from>
      <xdr:col>0</xdr:col>
      <xdr:colOff>108548</xdr:colOff>
      <xdr:row>13</xdr:row>
      <xdr:rowOff>32563</xdr:rowOff>
    </xdr:from>
    <xdr:to>
      <xdr:col>0</xdr:col>
      <xdr:colOff>694702</xdr:colOff>
      <xdr:row>13</xdr:row>
      <xdr:rowOff>397165</xdr:rowOff>
    </xdr:to>
    <xdr:pic>
      <xdr:nvPicPr>
        <xdr:cNvPr id="3" name="Billede 2">
          <a:extLst>
            <a:ext uri="{FF2B5EF4-FFF2-40B4-BE49-F238E27FC236}">
              <a16:creationId xmlns:a16="http://schemas.microsoft.com/office/drawing/2014/main" id="{5B8EDEFA-548B-6049-B454-3F4ED9B274EB}"/>
            </a:ext>
          </a:extLst>
        </xdr:cNvPr>
        <xdr:cNvPicPr>
          <a:picLocks noChangeAspect="1"/>
        </xdr:cNvPicPr>
      </xdr:nvPicPr>
      <xdr:blipFill>
        <a:blip xmlns:r="http://schemas.openxmlformats.org/officeDocument/2006/relationships" r:embed="rId1"/>
        <a:stretch>
          <a:fillRect/>
        </a:stretch>
      </xdr:blipFill>
      <xdr:spPr>
        <a:xfrm>
          <a:off x="108548" y="2865640"/>
          <a:ext cx="586154" cy="364602"/>
        </a:xfrm>
        <a:prstGeom prst="rect">
          <a:avLst/>
        </a:prstGeom>
      </xdr:spPr>
    </xdr:pic>
    <xdr:clientData/>
  </xdr:twoCellAnchor>
  <xdr:twoCellAnchor editAs="oneCell">
    <xdr:from>
      <xdr:col>0</xdr:col>
      <xdr:colOff>0</xdr:colOff>
      <xdr:row>28</xdr:row>
      <xdr:rowOff>54273</xdr:rowOff>
    </xdr:from>
    <xdr:to>
      <xdr:col>0</xdr:col>
      <xdr:colOff>769337</xdr:colOff>
      <xdr:row>30</xdr:row>
      <xdr:rowOff>206238</xdr:rowOff>
    </xdr:to>
    <xdr:pic>
      <xdr:nvPicPr>
        <xdr:cNvPr id="5" name="Billede 4">
          <a:extLst>
            <a:ext uri="{FF2B5EF4-FFF2-40B4-BE49-F238E27FC236}">
              <a16:creationId xmlns:a16="http://schemas.microsoft.com/office/drawing/2014/main" id="{161CB7C2-1E24-7641-98DC-6E38C0AA32B8}"/>
            </a:ext>
          </a:extLst>
        </xdr:cNvPr>
        <xdr:cNvPicPr>
          <a:picLocks noChangeAspect="1"/>
        </xdr:cNvPicPr>
      </xdr:nvPicPr>
      <xdr:blipFill>
        <a:blip xmlns:r="http://schemas.openxmlformats.org/officeDocument/2006/relationships" r:embed="rId2"/>
        <a:stretch>
          <a:fillRect/>
        </a:stretch>
      </xdr:blipFill>
      <xdr:spPr>
        <a:xfrm>
          <a:off x="0" y="7695982"/>
          <a:ext cx="769337" cy="694700"/>
        </a:xfrm>
        <a:prstGeom prst="rect">
          <a:avLst/>
        </a:prstGeom>
      </xdr:spPr>
    </xdr:pic>
    <xdr:clientData/>
  </xdr:twoCellAnchor>
  <xdr:twoCellAnchor editAs="oneCell">
    <xdr:from>
      <xdr:col>0</xdr:col>
      <xdr:colOff>10160</xdr:colOff>
      <xdr:row>31</xdr:row>
      <xdr:rowOff>221486</xdr:rowOff>
    </xdr:from>
    <xdr:to>
      <xdr:col>0</xdr:col>
      <xdr:colOff>784455</xdr:colOff>
      <xdr:row>33</xdr:row>
      <xdr:rowOff>96999</xdr:rowOff>
    </xdr:to>
    <xdr:pic>
      <xdr:nvPicPr>
        <xdr:cNvPr id="7" name="Billede 6">
          <a:extLst>
            <a:ext uri="{FF2B5EF4-FFF2-40B4-BE49-F238E27FC236}">
              <a16:creationId xmlns:a16="http://schemas.microsoft.com/office/drawing/2014/main" id="{AD86014F-E298-6943-8F98-CD3BAFB25FA6}"/>
            </a:ext>
          </a:extLst>
        </xdr:cNvPr>
        <xdr:cNvPicPr>
          <a:picLocks noChangeAspect="1"/>
        </xdr:cNvPicPr>
      </xdr:nvPicPr>
      <xdr:blipFill>
        <a:blip xmlns:r="http://schemas.openxmlformats.org/officeDocument/2006/relationships" r:embed="rId3"/>
        <a:stretch>
          <a:fillRect/>
        </a:stretch>
      </xdr:blipFill>
      <xdr:spPr>
        <a:xfrm>
          <a:off x="10160" y="9832846"/>
          <a:ext cx="774295" cy="403833"/>
        </a:xfrm>
        <a:prstGeom prst="rect">
          <a:avLst/>
        </a:prstGeom>
      </xdr:spPr>
    </xdr:pic>
    <xdr:clientData/>
  </xdr:twoCellAnchor>
  <xdr:twoCellAnchor editAs="oneCell">
    <xdr:from>
      <xdr:col>0</xdr:col>
      <xdr:colOff>0</xdr:colOff>
      <xdr:row>34</xdr:row>
      <xdr:rowOff>130256</xdr:rowOff>
    </xdr:from>
    <xdr:to>
      <xdr:col>1</xdr:col>
      <xdr:colOff>19021</xdr:colOff>
      <xdr:row>35</xdr:row>
      <xdr:rowOff>347352</xdr:rowOff>
    </xdr:to>
    <xdr:pic>
      <xdr:nvPicPr>
        <xdr:cNvPr id="9" name="Billede 8">
          <a:extLst>
            <a:ext uri="{FF2B5EF4-FFF2-40B4-BE49-F238E27FC236}">
              <a16:creationId xmlns:a16="http://schemas.microsoft.com/office/drawing/2014/main" id="{7D138EF7-9DC7-9742-A5B9-737580290C21}"/>
            </a:ext>
          </a:extLst>
        </xdr:cNvPr>
        <xdr:cNvPicPr>
          <a:picLocks noChangeAspect="1"/>
        </xdr:cNvPicPr>
      </xdr:nvPicPr>
      <xdr:blipFill>
        <a:blip xmlns:r="http://schemas.openxmlformats.org/officeDocument/2006/relationships" r:embed="rId4"/>
        <a:stretch>
          <a:fillRect/>
        </a:stretch>
      </xdr:blipFill>
      <xdr:spPr>
        <a:xfrm>
          <a:off x="0" y="9660683"/>
          <a:ext cx="843978" cy="4993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660400</xdr:colOff>
      <xdr:row>122</xdr:row>
      <xdr:rowOff>168068</xdr:rowOff>
    </xdr:to>
    <xdr:pic>
      <xdr:nvPicPr>
        <xdr:cNvPr id="9" name="Billede 8">
          <a:extLst>
            <a:ext uri="{FF2B5EF4-FFF2-40B4-BE49-F238E27FC236}">
              <a16:creationId xmlns:a16="http://schemas.microsoft.com/office/drawing/2014/main" id="{D7214020-9254-2A91-BA36-6B5553499A0E}"/>
            </a:ext>
          </a:extLst>
        </xdr:cNvPr>
        <xdr:cNvPicPr>
          <a:picLocks noChangeAspect="1"/>
        </xdr:cNvPicPr>
      </xdr:nvPicPr>
      <xdr:blipFill>
        <a:blip xmlns:r="http://schemas.openxmlformats.org/officeDocument/2006/relationships" r:embed="rId1"/>
        <a:stretch>
          <a:fillRect/>
        </a:stretch>
      </xdr:blipFill>
      <xdr:spPr>
        <a:xfrm>
          <a:off x="0" y="0"/>
          <a:ext cx="17995900" cy="254664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228601</xdr:colOff>
      <xdr:row>33</xdr:row>
      <xdr:rowOff>38100</xdr:rowOff>
    </xdr:from>
    <xdr:to>
      <xdr:col>1</xdr:col>
      <xdr:colOff>533401</xdr:colOff>
      <xdr:row>35</xdr:row>
      <xdr:rowOff>144273</xdr:rowOff>
    </xdr:to>
    <xdr:pic>
      <xdr:nvPicPr>
        <xdr:cNvPr id="3" name="Billede 2">
          <a:extLst>
            <a:ext uri="{FF2B5EF4-FFF2-40B4-BE49-F238E27FC236}">
              <a16:creationId xmlns:a16="http://schemas.microsoft.com/office/drawing/2014/main" id="{A7231A89-31B2-3348-8B4A-BEAA1F6725B4}"/>
            </a:ext>
          </a:extLst>
        </xdr:cNvPr>
        <xdr:cNvPicPr>
          <a:picLocks noChangeAspect="1"/>
        </xdr:cNvPicPr>
      </xdr:nvPicPr>
      <xdr:blipFill>
        <a:blip xmlns:r="http://schemas.openxmlformats.org/officeDocument/2006/relationships" r:embed="rId1"/>
        <a:stretch>
          <a:fillRect/>
        </a:stretch>
      </xdr:blipFill>
      <xdr:spPr>
        <a:xfrm>
          <a:off x="228601" y="12560300"/>
          <a:ext cx="1130300" cy="703074"/>
        </a:xfrm>
        <a:prstGeom prst="rect">
          <a:avLst/>
        </a:prstGeom>
      </xdr:spPr>
    </xdr:pic>
    <xdr:clientData/>
  </xdr:twoCellAnchor>
  <xdr:twoCellAnchor editAs="oneCell">
    <xdr:from>
      <xdr:col>0</xdr:col>
      <xdr:colOff>177800</xdr:colOff>
      <xdr:row>1</xdr:row>
      <xdr:rowOff>609600</xdr:rowOff>
    </xdr:from>
    <xdr:to>
      <xdr:col>1</xdr:col>
      <xdr:colOff>482600</xdr:colOff>
      <xdr:row>1</xdr:row>
      <xdr:rowOff>1312674</xdr:rowOff>
    </xdr:to>
    <xdr:pic>
      <xdr:nvPicPr>
        <xdr:cNvPr id="4" name="Billede 3">
          <a:extLst>
            <a:ext uri="{FF2B5EF4-FFF2-40B4-BE49-F238E27FC236}">
              <a16:creationId xmlns:a16="http://schemas.microsoft.com/office/drawing/2014/main" id="{D942FAE2-C652-7B42-9451-3218557A0832}"/>
            </a:ext>
          </a:extLst>
        </xdr:cNvPr>
        <xdr:cNvPicPr>
          <a:picLocks noChangeAspect="1"/>
        </xdr:cNvPicPr>
      </xdr:nvPicPr>
      <xdr:blipFill>
        <a:blip xmlns:r="http://schemas.openxmlformats.org/officeDocument/2006/relationships" r:embed="rId1"/>
        <a:stretch>
          <a:fillRect/>
        </a:stretch>
      </xdr:blipFill>
      <xdr:spPr>
        <a:xfrm>
          <a:off x="177800" y="1625600"/>
          <a:ext cx="1130300" cy="703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241300</xdr:colOff>
      <xdr:row>0</xdr:row>
      <xdr:rowOff>609600</xdr:rowOff>
    </xdr:from>
    <xdr:to>
      <xdr:col>1</xdr:col>
      <xdr:colOff>546100</xdr:colOff>
      <xdr:row>0</xdr:row>
      <xdr:rowOff>1312674</xdr:rowOff>
    </xdr:to>
    <xdr:pic>
      <xdr:nvPicPr>
        <xdr:cNvPr id="4" name="Billede 3">
          <a:extLst>
            <a:ext uri="{FF2B5EF4-FFF2-40B4-BE49-F238E27FC236}">
              <a16:creationId xmlns:a16="http://schemas.microsoft.com/office/drawing/2014/main" id="{CC942370-03AA-E045-9574-AB58255E30A7}"/>
            </a:ext>
          </a:extLst>
        </xdr:cNvPr>
        <xdr:cNvPicPr>
          <a:picLocks noChangeAspect="1"/>
        </xdr:cNvPicPr>
      </xdr:nvPicPr>
      <xdr:blipFill>
        <a:blip xmlns:r="http://schemas.openxmlformats.org/officeDocument/2006/relationships" r:embed="rId1"/>
        <a:stretch>
          <a:fillRect/>
        </a:stretch>
      </xdr:blipFill>
      <xdr:spPr>
        <a:xfrm>
          <a:off x="241300" y="609600"/>
          <a:ext cx="1130300" cy="703074"/>
        </a:xfrm>
        <a:prstGeom prst="rect">
          <a:avLst/>
        </a:prstGeom>
      </xdr:spPr>
    </xdr:pic>
    <xdr:clientData/>
  </xdr:twoCellAnchor>
  <xdr:twoCellAnchor editAs="oneCell">
    <xdr:from>
      <xdr:col>0</xdr:col>
      <xdr:colOff>279400</xdr:colOff>
      <xdr:row>91</xdr:row>
      <xdr:rowOff>177800</xdr:rowOff>
    </xdr:from>
    <xdr:to>
      <xdr:col>1</xdr:col>
      <xdr:colOff>584200</xdr:colOff>
      <xdr:row>95</xdr:row>
      <xdr:rowOff>68074</xdr:rowOff>
    </xdr:to>
    <xdr:pic>
      <xdr:nvPicPr>
        <xdr:cNvPr id="5" name="Billede 4">
          <a:extLst>
            <a:ext uri="{FF2B5EF4-FFF2-40B4-BE49-F238E27FC236}">
              <a16:creationId xmlns:a16="http://schemas.microsoft.com/office/drawing/2014/main" id="{30BD101B-BC22-DA4B-9C3B-C6D8E2385176}"/>
            </a:ext>
          </a:extLst>
        </xdr:cNvPr>
        <xdr:cNvPicPr>
          <a:picLocks noChangeAspect="1"/>
        </xdr:cNvPicPr>
      </xdr:nvPicPr>
      <xdr:blipFill>
        <a:blip xmlns:r="http://schemas.openxmlformats.org/officeDocument/2006/relationships" r:embed="rId1"/>
        <a:stretch>
          <a:fillRect/>
        </a:stretch>
      </xdr:blipFill>
      <xdr:spPr>
        <a:xfrm>
          <a:off x="279400" y="14160500"/>
          <a:ext cx="1130300" cy="703074"/>
        </a:xfrm>
        <a:prstGeom prst="rect">
          <a:avLst/>
        </a:prstGeom>
      </xdr:spPr>
    </xdr:pic>
    <xdr:clientData/>
  </xdr:twoCellAnchor>
  <xdr:twoCellAnchor editAs="oneCell">
    <xdr:from>
      <xdr:col>1</xdr:col>
      <xdr:colOff>279400</xdr:colOff>
      <xdr:row>1</xdr:row>
      <xdr:rowOff>177800</xdr:rowOff>
    </xdr:from>
    <xdr:to>
      <xdr:col>1</xdr:col>
      <xdr:colOff>735932</xdr:colOff>
      <xdr:row>1</xdr:row>
      <xdr:rowOff>461774</xdr:rowOff>
    </xdr:to>
    <xdr:pic>
      <xdr:nvPicPr>
        <xdr:cNvPr id="3" name="Billede 2">
          <a:extLst>
            <a:ext uri="{FF2B5EF4-FFF2-40B4-BE49-F238E27FC236}">
              <a16:creationId xmlns:a16="http://schemas.microsoft.com/office/drawing/2014/main" id="{0AABE7A6-EA05-C549-B9AA-CABA92DE87F2}"/>
            </a:ext>
          </a:extLst>
        </xdr:cNvPr>
        <xdr:cNvPicPr>
          <a:picLocks noChangeAspect="1"/>
        </xdr:cNvPicPr>
      </xdr:nvPicPr>
      <xdr:blipFill>
        <a:blip xmlns:r="http://schemas.openxmlformats.org/officeDocument/2006/relationships" r:embed="rId1"/>
        <a:stretch>
          <a:fillRect/>
        </a:stretch>
      </xdr:blipFill>
      <xdr:spPr>
        <a:xfrm>
          <a:off x="1104900" y="1854200"/>
          <a:ext cx="456532" cy="283974"/>
        </a:xfrm>
        <a:prstGeom prst="rect">
          <a:avLst/>
        </a:prstGeom>
      </xdr:spPr>
    </xdr:pic>
    <xdr:clientData/>
  </xdr:twoCellAnchor>
  <xdr:twoCellAnchor editAs="oneCell">
    <xdr:from>
      <xdr:col>1</xdr:col>
      <xdr:colOff>292100</xdr:colOff>
      <xdr:row>2</xdr:row>
      <xdr:rowOff>228600</xdr:rowOff>
    </xdr:from>
    <xdr:to>
      <xdr:col>1</xdr:col>
      <xdr:colOff>748632</xdr:colOff>
      <xdr:row>2</xdr:row>
      <xdr:rowOff>512574</xdr:rowOff>
    </xdr:to>
    <xdr:pic>
      <xdr:nvPicPr>
        <xdr:cNvPr id="6" name="Billede 5">
          <a:extLst>
            <a:ext uri="{FF2B5EF4-FFF2-40B4-BE49-F238E27FC236}">
              <a16:creationId xmlns:a16="http://schemas.microsoft.com/office/drawing/2014/main" id="{92CECB52-BB0F-DF43-8FBA-7EC1B9E77A30}"/>
            </a:ext>
          </a:extLst>
        </xdr:cNvPr>
        <xdr:cNvPicPr>
          <a:picLocks noChangeAspect="1"/>
        </xdr:cNvPicPr>
      </xdr:nvPicPr>
      <xdr:blipFill>
        <a:blip xmlns:r="http://schemas.openxmlformats.org/officeDocument/2006/relationships" r:embed="rId1"/>
        <a:stretch>
          <a:fillRect/>
        </a:stretch>
      </xdr:blipFill>
      <xdr:spPr>
        <a:xfrm>
          <a:off x="1117600" y="2717800"/>
          <a:ext cx="456532" cy="283974"/>
        </a:xfrm>
        <a:prstGeom prst="rect">
          <a:avLst/>
        </a:prstGeom>
      </xdr:spPr>
    </xdr:pic>
    <xdr:clientData/>
  </xdr:twoCellAnchor>
  <xdr:twoCellAnchor editAs="oneCell">
    <xdr:from>
      <xdr:col>1</xdr:col>
      <xdr:colOff>279400</xdr:colOff>
      <xdr:row>3</xdr:row>
      <xdr:rowOff>190500</xdr:rowOff>
    </xdr:from>
    <xdr:to>
      <xdr:col>1</xdr:col>
      <xdr:colOff>735932</xdr:colOff>
      <xdr:row>3</xdr:row>
      <xdr:rowOff>474474</xdr:rowOff>
    </xdr:to>
    <xdr:pic>
      <xdr:nvPicPr>
        <xdr:cNvPr id="7" name="Billede 6">
          <a:extLst>
            <a:ext uri="{FF2B5EF4-FFF2-40B4-BE49-F238E27FC236}">
              <a16:creationId xmlns:a16="http://schemas.microsoft.com/office/drawing/2014/main" id="{FCF258FC-2528-FD4C-A061-CCEB1AD2BB43}"/>
            </a:ext>
          </a:extLst>
        </xdr:cNvPr>
        <xdr:cNvPicPr>
          <a:picLocks noChangeAspect="1"/>
        </xdr:cNvPicPr>
      </xdr:nvPicPr>
      <xdr:blipFill>
        <a:blip xmlns:r="http://schemas.openxmlformats.org/officeDocument/2006/relationships" r:embed="rId1"/>
        <a:stretch>
          <a:fillRect/>
        </a:stretch>
      </xdr:blipFill>
      <xdr:spPr>
        <a:xfrm>
          <a:off x="1104900" y="3403600"/>
          <a:ext cx="456532" cy="2839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169334</xdr:colOff>
      <xdr:row>1</xdr:row>
      <xdr:rowOff>550335</xdr:rowOff>
    </xdr:from>
    <xdr:to>
      <xdr:col>3</xdr:col>
      <xdr:colOff>71497</xdr:colOff>
      <xdr:row>1</xdr:row>
      <xdr:rowOff>1411111</xdr:rowOff>
    </xdr:to>
    <xdr:pic>
      <xdr:nvPicPr>
        <xdr:cNvPr id="2" name="Billede 1">
          <a:extLst>
            <a:ext uri="{FF2B5EF4-FFF2-40B4-BE49-F238E27FC236}">
              <a16:creationId xmlns:a16="http://schemas.microsoft.com/office/drawing/2014/main" id="{B6A93825-4A1F-7D4B-BC73-D1B6C977E60D}"/>
            </a:ext>
          </a:extLst>
        </xdr:cNvPr>
        <xdr:cNvPicPr>
          <a:picLocks noChangeAspect="1"/>
        </xdr:cNvPicPr>
      </xdr:nvPicPr>
      <xdr:blipFill>
        <a:blip xmlns:r="http://schemas.openxmlformats.org/officeDocument/2006/relationships" r:embed="rId1"/>
        <a:stretch>
          <a:fillRect/>
        </a:stretch>
      </xdr:blipFill>
      <xdr:spPr>
        <a:xfrm>
          <a:off x="169334" y="747891"/>
          <a:ext cx="1383830" cy="8607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138546</xdr:colOff>
      <xdr:row>2</xdr:row>
      <xdr:rowOff>334819</xdr:rowOff>
    </xdr:from>
    <xdr:to>
      <xdr:col>1</xdr:col>
      <xdr:colOff>622301</xdr:colOff>
      <xdr:row>4</xdr:row>
      <xdr:rowOff>218166</xdr:rowOff>
    </xdr:to>
    <xdr:pic>
      <xdr:nvPicPr>
        <xdr:cNvPr id="2" name="Billede 1">
          <a:extLst>
            <a:ext uri="{FF2B5EF4-FFF2-40B4-BE49-F238E27FC236}">
              <a16:creationId xmlns:a16="http://schemas.microsoft.com/office/drawing/2014/main" id="{4B3C89C3-C383-4741-A9D7-9D2AAC12A3E5}"/>
            </a:ext>
          </a:extLst>
        </xdr:cNvPr>
        <xdr:cNvPicPr>
          <a:picLocks noChangeAspect="1"/>
        </xdr:cNvPicPr>
      </xdr:nvPicPr>
      <xdr:blipFill>
        <a:blip xmlns:r="http://schemas.openxmlformats.org/officeDocument/2006/relationships" r:embed="rId1"/>
        <a:stretch>
          <a:fillRect/>
        </a:stretch>
      </xdr:blipFill>
      <xdr:spPr>
        <a:xfrm>
          <a:off x="138546" y="1524001"/>
          <a:ext cx="1130300" cy="703074"/>
        </a:xfrm>
        <a:prstGeom prst="rect">
          <a:avLst/>
        </a:prstGeom>
      </xdr:spPr>
    </xdr:pic>
    <xdr:clientData/>
  </xdr:twoCellAnchor>
  <xdr:twoCellAnchor editAs="oneCell">
    <xdr:from>
      <xdr:col>0</xdr:col>
      <xdr:colOff>150090</xdr:colOff>
      <xdr:row>81</xdr:row>
      <xdr:rowOff>334820</xdr:rowOff>
    </xdr:from>
    <xdr:to>
      <xdr:col>1</xdr:col>
      <xdr:colOff>633845</xdr:colOff>
      <xdr:row>82</xdr:row>
      <xdr:rowOff>483712</xdr:rowOff>
    </xdr:to>
    <xdr:pic>
      <xdr:nvPicPr>
        <xdr:cNvPr id="3" name="Billede 2">
          <a:extLst>
            <a:ext uri="{FF2B5EF4-FFF2-40B4-BE49-F238E27FC236}">
              <a16:creationId xmlns:a16="http://schemas.microsoft.com/office/drawing/2014/main" id="{C7A2EE76-1F5D-D24B-BF0F-DE787094CF30}"/>
            </a:ext>
          </a:extLst>
        </xdr:cNvPr>
        <xdr:cNvPicPr>
          <a:picLocks noChangeAspect="1"/>
        </xdr:cNvPicPr>
      </xdr:nvPicPr>
      <xdr:blipFill>
        <a:blip xmlns:r="http://schemas.openxmlformats.org/officeDocument/2006/relationships" r:embed="rId1"/>
        <a:stretch>
          <a:fillRect/>
        </a:stretch>
      </xdr:blipFill>
      <xdr:spPr>
        <a:xfrm>
          <a:off x="150090" y="26623820"/>
          <a:ext cx="1130300" cy="7030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177800</xdr:colOff>
      <xdr:row>101</xdr:row>
      <xdr:rowOff>127000</xdr:rowOff>
    </xdr:from>
    <xdr:to>
      <xdr:col>1</xdr:col>
      <xdr:colOff>482600</xdr:colOff>
      <xdr:row>104</xdr:row>
      <xdr:rowOff>106174</xdr:rowOff>
    </xdr:to>
    <xdr:pic>
      <xdr:nvPicPr>
        <xdr:cNvPr id="3" name="Billede 2">
          <a:extLst>
            <a:ext uri="{FF2B5EF4-FFF2-40B4-BE49-F238E27FC236}">
              <a16:creationId xmlns:a16="http://schemas.microsoft.com/office/drawing/2014/main" id="{0E32D9E3-04CD-4044-9A2A-1363AC4EB60C}"/>
            </a:ext>
          </a:extLst>
        </xdr:cNvPr>
        <xdr:cNvPicPr>
          <a:picLocks noChangeAspect="1"/>
        </xdr:cNvPicPr>
      </xdr:nvPicPr>
      <xdr:blipFill>
        <a:blip xmlns:r="http://schemas.openxmlformats.org/officeDocument/2006/relationships" r:embed="rId1"/>
        <a:stretch>
          <a:fillRect/>
        </a:stretch>
      </xdr:blipFill>
      <xdr:spPr>
        <a:xfrm>
          <a:off x="177800" y="18846800"/>
          <a:ext cx="1130300" cy="703074"/>
        </a:xfrm>
        <a:prstGeom prst="rect">
          <a:avLst/>
        </a:prstGeom>
      </xdr:spPr>
    </xdr:pic>
    <xdr:clientData/>
  </xdr:twoCellAnchor>
  <xdr:twoCellAnchor editAs="oneCell">
    <xdr:from>
      <xdr:col>0</xdr:col>
      <xdr:colOff>228600</xdr:colOff>
      <xdr:row>0</xdr:row>
      <xdr:rowOff>228600</xdr:rowOff>
    </xdr:from>
    <xdr:to>
      <xdr:col>1</xdr:col>
      <xdr:colOff>533400</xdr:colOff>
      <xdr:row>1</xdr:row>
      <xdr:rowOff>334774</xdr:rowOff>
    </xdr:to>
    <xdr:pic>
      <xdr:nvPicPr>
        <xdr:cNvPr id="6" name="Billede 5">
          <a:extLst>
            <a:ext uri="{FF2B5EF4-FFF2-40B4-BE49-F238E27FC236}">
              <a16:creationId xmlns:a16="http://schemas.microsoft.com/office/drawing/2014/main" id="{39983B6E-8C3E-604C-BAFC-D61D90B36A26}"/>
            </a:ext>
          </a:extLst>
        </xdr:cNvPr>
        <xdr:cNvPicPr>
          <a:picLocks noChangeAspect="1"/>
        </xdr:cNvPicPr>
      </xdr:nvPicPr>
      <xdr:blipFill>
        <a:blip xmlns:r="http://schemas.openxmlformats.org/officeDocument/2006/relationships" r:embed="rId1"/>
        <a:stretch>
          <a:fillRect/>
        </a:stretch>
      </xdr:blipFill>
      <xdr:spPr>
        <a:xfrm>
          <a:off x="228600" y="228600"/>
          <a:ext cx="1130300" cy="7030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889000</xdr:colOff>
      <xdr:row>35</xdr:row>
      <xdr:rowOff>68579</xdr:rowOff>
    </xdr:from>
    <xdr:to>
      <xdr:col>11</xdr:col>
      <xdr:colOff>63500</xdr:colOff>
      <xdr:row>38</xdr:row>
      <xdr:rowOff>236854</xdr:rowOff>
    </xdr:to>
    <xdr:pic>
      <xdr:nvPicPr>
        <xdr:cNvPr id="2" name="Billed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0" y="10244454"/>
          <a:ext cx="1349375" cy="1025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774700</xdr:colOff>
      <xdr:row>36</xdr:row>
      <xdr:rowOff>41910</xdr:rowOff>
    </xdr:from>
    <xdr:to>
      <xdr:col>10</xdr:col>
      <xdr:colOff>266700</xdr:colOff>
      <xdr:row>39</xdr:row>
      <xdr:rowOff>270510</xdr:rowOff>
    </xdr:to>
    <xdr:pic>
      <xdr:nvPicPr>
        <xdr:cNvPr id="5" name="Billed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92700" y="10582910"/>
          <a:ext cx="1428750" cy="1085850"/>
        </a:xfrm>
        <a:prstGeom prst="rect">
          <a:avLst/>
        </a:prstGeom>
      </xdr:spPr>
    </xdr:pic>
    <xdr:clientData/>
  </xdr:twoCellAnchor>
  <xdr:twoCellAnchor editAs="oneCell">
    <xdr:from>
      <xdr:col>8</xdr:col>
      <xdr:colOff>889000</xdr:colOff>
      <xdr:row>36</xdr:row>
      <xdr:rowOff>68579</xdr:rowOff>
    </xdr:from>
    <xdr:to>
      <xdr:col>10</xdr:col>
      <xdr:colOff>304800</xdr:colOff>
      <xdr:row>39</xdr:row>
      <xdr:rowOff>236854</xdr:rowOff>
    </xdr:to>
    <xdr:pic>
      <xdr:nvPicPr>
        <xdr:cNvPr id="3" name="Billede 2">
          <a:extLst>
            <a:ext uri="{FF2B5EF4-FFF2-40B4-BE49-F238E27FC236}">
              <a16:creationId xmlns:a16="http://schemas.microsoft.com/office/drawing/2014/main" id="{8658A892-4A64-7C48-B0F7-A37F1DE844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1300" y="10558779"/>
          <a:ext cx="1346200" cy="1044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riskoler.dk/Users/tove/Library/Application%20Support/Microsoft/Office/Office%202011%20AutoRecovery/KAL1516%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jledning2015"/>
      <sheetName val="Maaned"/>
      <sheetName val="Aar"/>
      <sheetName val="1.halvaar"/>
      <sheetName val="2.halvaar"/>
      <sheetName val="Aar (tom)"/>
      <sheetName val="1.halvaar (tom)"/>
      <sheetName val="2.halvaar (tom)"/>
      <sheetName val="Minikalender"/>
    </sheetNames>
    <sheetDataSet>
      <sheetData sheetId="0"/>
      <sheetData sheetId="1">
        <row r="3">
          <cell r="A3">
            <v>2015</v>
          </cell>
        </row>
        <row r="5">
          <cell r="C5" t="str">
            <v>lø</v>
          </cell>
          <cell r="H5" t="str">
            <v>ti</v>
          </cell>
          <cell r="M5" t="str">
            <v>to</v>
          </cell>
          <cell r="R5" t="str">
            <v>sø</v>
          </cell>
          <cell r="W5" t="str">
            <v>ti</v>
          </cell>
          <cell r="AB5" t="str">
            <v>fr</v>
          </cell>
          <cell r="AG5" t="str">
            <v>ma</v>
          </cell>
          <cell r="AL5" t="str">
            <v>ti</v>
          </cell>
          <cell r="AQ5" t="str">
            <v>fr</v>
          </cell>
          <cell r="AR5" t="str">
            <v>skoledag</v>
          </cell>
          <cell r="AV5" t="str">
            <v>sø</v>
          </cell>
          <cell r="BA5" t="str">
            <v>on</v>
          </cell>
          <cell r="BF5" t="str">
            <v>fr</v>
          </cell>
        </row>
        <row r="6">
          <cell r="C6" t="str">
            <v>sø</v>
          </cell>
          <cell r="H6" t="str">
            <v>on</v>
          </cell>
          <cell r="M6" t="str">
            <v>fr</v>
          </cell>
          <cell r="R6" t="str">
            <v>ma</v>
          </cell>
          <cell r="W6" t="str">
            <v>on</v>
          </cell>
          <cell r="AB6" t="str">
            <v>lø</v>
          </cell>
          <cell r="AG6" t="str">
            <v>ti</v>
          </cell>
          <cell r="AL6" t="str">
            <v>on</v>
          </cell>
          <cell r="AQ6" t="str">
            <v>lø</v>
          </cell>
          <cell r="AR6" t="str">
            <v>fridag</v>
          </cell>
          <cell r="AV6" t="str">
            <v>ma</v>
          </cell>
          <cell r="BA6" t="str">
            <v>to</v>
          </cell>
          <cell r="BF6" t="str">
            <v>lø</v>
          </cell>
        </row>
        <row r="7">
          <cell r="C7" t="str">
            <v>ma</v>
          </cell>
          <cell r="H7" t="str">
            <v>to</v>
          </cell>
          <cell r="M7" t="str">
            <v>lø</v>
          </cell>
          <cell r="R7" t="str">
            <v>ti</v>
          </cell>
          <cell r="W7" t="str">
            <v>to</v>
          </cell>
          <cell r="AB7" t="str">
            <v>sø</v>
          </cell>
          <cell r="AG7" t="str">
            <v>on</v>
          </cell>
          <cell r="AL7" t="str">
            <v>to</v>
          </cell>
          <cell r="AQ7" t="str">
            <v>sø</v>
          </cell>
          <cell r="AR7" t="str">
            <v>fridag</v>
          </cell>
          <cell r="AV7" t="str">
            <v>ti</v>
          </cell>
          <cell r="BA7" t="str">
            <v>fr</v>
          </cell>
          <cell r="BF7" t="str">
            <v>sø</v>
          </cell>
        </row>
        <row r="8">
          <cell r="C8" t="str">
            <v>ti</v>
          </cell>
          <cell r="H8" t="str">
            <v>fr</v>
          </cell>
          <cell r="M8" t="str">
            <v>sø</v>
          </cell>
          <cell r="R8" t="str">
            <v>on</v>
          </cell>
          <cell r="W8" t="str">
            <v>fr</v>
          </cell>
          <cell r="AB8" t="str">
            <v>ma</v>
          </cell>
          <cell r="AG8" t="str">
            <v>to</v>
          </cell>
          <cell r="AL8" t="str">
            <v>fr</v>
          </cell>
          <cell r="AQ8" t="str">
            <v>ma</v>
          </cell>
          <cell r="AR8" t="str">
            <v>skoledag</v>
          </cell>
          <cell r="AV8" t="str">
            <v>on</v>
          </cell>
          <cell r="BA8" t="str">
            <v>lø</v>
          </cell>
          <cell r="BF8" t="str">
            <v>ma</v>
          </cell>
        </row>
        <row r="9">
          <cell r="C9" t="str">
            <v>on</v>
          </cell>
          <cell r="H9" t="str">
            <v>lø</v>
          </cell>
          <cell r="M9" t="str">
            <v>ma</v>
          </cell>
          <cell r="R9" t="str">
            <v>to</v>
          </cell>
          <cell r="W9" t="str">
            <v>lø</v>
          </cell>
          <cell r="AB9" t="str">
            <v>ti</v>
          </cell>
          <cell r="AG9" t="str">
            <v>fr</v>
          </cell>
          <cell r="AL9" t="str">
            <v>lø</v>
          </cell>
          <cell r="AQ9" t="str">
            <v>ti</v>
          </cell>
          <cell r="AR9" t="str">
            <v>skoledag</v>
          </cell>
          <cell r="AV9" t="str">
            <v>to</v>
          </cell>
          <cell r="BA9" t="str">
            <v>sø</v>
          </cell>
          <cell r="BF9" t="str">
            <v>ti</v>
          </cell>
        </row>
        <row r="10">
          <cell r="C10" t="str">
            <v>to</v>
          </cell>
          <cell r="H10" t="str">
            <v>sø</v>
          </cell>
          <cell r="M10" t="str">
            <v>ti</v>
          </cell>
          <cell r="R10" t="str">
            <v>fr</v>
          </cell>
          <cell r="W10" t="str">
            <v>sø</v>
          </cell>
          <cell r="AB10" t="str">
            <v>on</v>
          </cell>
          <cell r="AG10" t="str">
            <v>lø</v>
          </cell>
          <cell r="AL10" t="str">
            <v>sø</v>
          </cell>
          <cell r="AQ10" t="str">
            <v>on</v>
          </cell>
          <cell r="AR10" t="str">
            <v>skoledag</v>
          </cell>
          <cell r="AV10" t="str">
            <v>fr</v>
          </cell>
          <cell r="BA10" t="str">
            <v>ma</v>
          </cell>
          <cell r="BF10" t="str">
            <v>on</v>
          </cell>
        </row>
        <row r="11">
          <cell r="C11" t="str">
            <v>fr</v>
          </cell>
          <cell r="H11" t="str">
            <v>ma</v>
          </cell>
          <cell r="M11" t="str">
            <v>on</v>
          </cell>
          <cell r="R11" t="str">
            <v>lø</v>
          </cell>
          <cell r="W11" t="str">
            <v>ma</v>
          </cell>
          <cell r="AB11" t="str">
            <v>to</v>
          </cell>
          <cell r="AG11" t="str">
            <v>sø</v>
          </cell>
          <cell r="AL11" t="str">
            <v>ma</v>
          </cell>
          <cell r="AQ11" t="str">
            <v>to</v>
          </cell>
          <cell r="AR11" t="str">
            <v>skoledag</v>
          </cell>
          <cell r="AV11" t="str">
            <v>lø</v>
          </cell>
          <cell r="BA11" t="str">
            <v>ti</v>
          </cell>
          <cell r="BF11" t="str">
            <v>to</v>
          </cell>
        </row>
        <row r="12">
          <cell r="C12" t="str">
            <v>lø</v>
          </cell>
          <cell r="H12" t="str">
            <v>ti</v>
          </cell>
          <cell r="M12" t="str">
            <v>to</v>
          </cell>
          <cell r="R12" t="str">
            <v>sø</v>
          </cell>
          <cell r="W12" t="str">
            <v>ti</v>
          </cell>
          <cell r="AB12" t="str">
            <v>fr</v>
          </cell>
          <cell r="AG12" t="str">
            <v>ma</v>
          </cell>
          <cell r="AL12" t="str">
            <v>ti</v>
          </cell>
          <cell r="AQ12" t="str">
            <v>fr</v>
          </cell>
          <cell r="AR12" t="str">
            <v>skoledag</v>
          </cell>
          <cell r="AV12" t="str">
            <v>sø</v>
          </cell>
          <cell r="BA12" t="str">
            <v>on</v>
          </cell>
          <cell r="BF12" t="str">
            <v>fr</v>
          </cell>
        </row>
        <row r="13">
          <cell r="C13" t="str">
            <v>sø</v>
          </cell>
          <cell r="H13" t="str">
            <v>on</v>
          </cell>
          <cell r="M13" t="str">
            <v>fr</v>
          </cell>
          <cell r="R13" t="str">
            <v>ma</v>
          </cell>
          <cell r="W13" t="str">
            <v>on</v>
          </cell>
          <cell r="AB13" t="str">
            <v>lø</v>
          </cell>
          <cell r="AG13" t="str">
            <v>ti</v>
          </cell>
          <cell r="AL13" t="str">
            <v>on</v>
          </cell>
          <cell r="AQ13" t="str">
            <v>lø</v>
          </cell>
          <cell r="AR13" t="str">
            <v>fridag</v>
          </cell>
          <cell r="AV13" t="str">
            <v>ma</v>
          </cell>
          <cell r="BA13" t="str">
            <v>to</v>
          </cell>
          <cell r="BF13" t="str">
            <v>lø</v>
          </cell>
        </row>
        <row r="14">
          <cell r="C14" t="str">
            <v>ma</v>
          </cell>
          <cell r="H14" t="str">
            <v>to</v>
          </cell>
          <cell r="M14" t="str">
            <v>lø</v>
          </cell>
          <cell r="R14" t="str">
            <v>ti</v>
          </cell>
          <cell r="W14" t="str">
            <v>to</v>
          </cell>
          <cell r="AB14" t="str">
            <v>sø</v>
          </cell>
          <cell r="AG14" t="str">
            <v>on</v>
          </cell>
          <cell r="AL14" t="str">
            <v>to</v>
          </cell>
          <cell r="AQ14" t="str">
            <v>sø</v>
          </cell>
          <cell r="AR14" t="str">
            <v>fridag</v>
          </cell>
          <cell r="AV14" t="str">
            <v>ti</v>
          </cell>
          <cell r="BA14" t="str">
            <v>fr</v>
          </cell>
          <cell r="BF14" t="str">
            <v>sø</v>
          </cell>
        </row>
        <row r="15">
          <cell r="C15" t="str">
            <v>ti</v>
          </cell>
          <cell r="H15" t="str">
            <v>fr</v>
          </cell>
          <cell r="M15" t="str">
            <v>sø</v>
          </cell>
          <cell r="R15" t="str">
            <v>on</v>
          </cell>
          <cell r="W15" t="str">
            <v>fr</v>
          </cell>
          <cell r="AB15" t="str">
            <v>ma</v>
          </cell>
          <cell r="AG15" t="str">
            <v>to</v>
          </cell>
          <cell r="AL15" t="str">
            <v>fr</v>
          </cell>
          <cell r="AQ15" t="str">
            <v>ma</v>
          </cell>
          <cell r="AR15" t="str">
            <v>skoledag</v>
          </cell>
          <cell r="AV15" t="str">
            <v>on</v>
          </cell>
          <cell r="BA15" t="str">
            <v>lø</v>
          </cell>
          <cell r="BF15" t="str">
            <v>ma</v>
          </cell>
        </row>
        <row r="16">
          <cell r="C16" t="str">
            <v>on</v>
          </cell>
          <cell r="H16" t="str">
            <v>lø</v>
          </cell>
          <cell r="M16" t="str">
            <v>ma</v>
          </cell>
          <cell r="R16" t="str">
            <v>to</v>
          </cell>
          <cell r="W16" t="str">
            <v>lø</v>
          </cell>
          <cell r="AB16" t="str">
            <v>ti</v>
          </cell>
          <cell r="AG16" t="str">
            <v>fr</v>
          </cell>
          <cell r="AL16" t="str">
            <v>lø</v>
          </cell>
          <cell r="AQ16" t="str">
            <v>ti</v>
          </cell>
          <cell r="AR16" t="str">
            <v>skoledag</v>
          </cell>
          <cell r="AV16" t="str">
            <v>to</v>
          </cell>
          <cell r="BA16" t="str">
            <v>sø</v>
          </cell>
          <cell r="BF16" t="str">
            <v>ti</v>
          </cell>
        </row>
        <row r="17">
          <cell r="C17" t="str">
            <v>to</v>
          </cell>
          <cell r="H17" t="str">
            <v>sø</v>
          </cell>
          <cell r="M17" t="str">
            <v>ti</v>
          </cell>
          <cell r="R17" t="str">
            <v>fr</v>
          </cell>
          <cell r="W17" t="str">
            <v>sø</v>
          </cell>
          <cell r="AB17" t="str">
            <v>on</v>
          </cell>
          <cell r="AG17" t="str">
            <v>lø</v>
          </cell>
          <cell r="AL17" t="str">
            <v>sø</v>
          </cell>
          <cell r="AQ17" t="str">
            <v>on</v>
          </cell>
          <cell r="AR17" t="str">
            <v>skoledag</v>
          </cell>
          <cell r="AV17" t="str">
            <v>fr</v>
          </cell>
          <cell r="BA17" t="str">
            <v>ma</v>
          </cell>
          <cell r="BF17" t="str">
            <v>on</v>
          </cell>
        </row>
        <row r="18">
          <cell r="C18" t="str">
            <v>fr</v>
          </cell>
          <cell r="H18" t="str">
            <v>ma</v>
          </cell>
          <cell r="M18" t="str">
            <v>on</v>
          </cell>
          <cell r="R18" t="str">
            <v>lø</v>
          </cell>
          <cell r="W18" t="str">
            <v>ma</v>
          </cell>
          <cell r="AB18" t="str">
            <v>to</v>
          </cell>
          <cell r="AG18" t="str">
            <v>sø</v>
          </cell>
          <cell r="AL18" t="str">
            <v>ma</v>
          </cell>
          <cell r="AQ18" t="str">
            <v>to</v>
          </cell>
          <cell r="AR18" t="str">
            <v>skoledag</v>
          </cell>
          <cell r="AV18" t="str">
            <v>lø</v>
          </cell>
          <cell r="BA18" t="str">
            <v>ti</v>
          </cell>
          <cell r="BF18" t="str">
            <v>to</v>
          </cell>
        </row>
        <row r="19">
          <cell r="C19" t="str">
            <v>lø</v>
          </cell>
          <cell r="H19" t="str">
            <v>ti</v>
          </cell>
          <cell r="M19" t="str">
            <v>to</v>
          </cell>
          <cell r="R19" t="str">
            <v>sø</v>
          </cell>
          <cell r="W19" t="str">
            <v>ti</v>
          </cell>
          <cell r="AB19" t="str">
            <v>fr</v>
          </cell>
          <cell r="AG19" t="str">
            <v>ma</v>
          </cell>
          <cell r="AL19" t="str">
            <v>ti</v>
          </cell>
          <cell r="AQ19" t="str">
            <v>fr</v>
          </cell>
          <cell r="AR19" t="str">
            <v>skoledag</v>
          </cell>
          <cell r="AV19" t="str">
            <v>sø</v>
          </cell>
          <cell r="BA19" t="str">
            <v>on</v>
          </cell>
          <cell r="BF19" t="str">
            <v>fr</v>
          </cell>
        </row>
        <row r="20">
          <cell r="C20" t="str">
            <v>sø</v>
          </cell>
          <cell r="H20" t="str">
            <v>on</v>
          </cell>
          <cell r="M20" t="str">
            <v>fr</v>
          </cell>
          <cell r="R20" t="str">
            <v>ma</v>
          </cell>
          <cell r="W20" t="str">
            <v>on</v>
          </cell>
          <cell r="AB20" t="str">
            <v>lø</v>
          </cell>
          <cell r="AG20" t="str">
            <v>ti</v>
          </cell>
          <cell r="AL20" t="str">
            <v>on</v>
          </cell>
          <cell r="AQ20" t="str">
            <v>lø</v>
          </cell>
          <cell r="AR20" t="str">
            <v>fridag</v>
          </cell>
          <cell r="AV20" t="str">
            <v>ma</v>
          </cell>
          <cell r="BA20" t="str">
            <v>to</v>
          </cell>
          <cell r="BF20" t="str">
            <v>lø</v>
          </cell>
        </row>
        <row r="21">
          <cell r="C21" t="str">
            <v>ma</v>
          </cell>
          <cell r="H21" t="str">
            <v>to</v>
          </cell>
          <cell r="M21" t="str">
            <v>lø</v>
          </cell>
          <cell r="R21" t="str">
            <v>ti</v>
          </cell>
          <cell r="W21" t="str">
            <v>to</v>
          </cell>
          <cell r="AB21" t="str">
            <v>sø</v>
          </cell>
          <cell r="AG21" t="str">
            <v>on</v>
          </cell>
          <cell r="AL21" t="str">
            <v>to</v>
          </cell>
          <cell r="AQ21" t="str">
            <v>sø</v>
          </cell>
          <cell r="AR21" t="str">
            <v>fridag</v>
          </cell>
          <cell r="AV21" t="str">
            <v>ti</v>
          </cell>
          <cell r="BA21" t="str">
            <v>fr</v>
          </cell>
          <cell r="BF21" t="str">
            <v>sø</v>
          </cell>
        </row>
        <row r="22">
          <cell r="C22" t="str">
            <v>ti</v>
          </cell>
          <cell r="H22" t="str">
            <v>fr</v>
          </cell>
          <cell r="M22" t="str">
            <v>sø</v>
          </cell>
          <cell r="R22" t="str">
            <v>on</v>
          </cell>
          <cell r="W22" t="str">
            <v>fr</v>
          </cell>
          <cell r="AB22" t="str">
            <v>ma</v>
          </cell>
          <cell r="AG22" t="str">
            <v>to</v>
          </cell>
          <cell r="AL22" t="str">
            <v>fr</v>
          </cell>
          <cell r="AQ22" t="str">
            <v>ma</v>
          </cell>
          <cell r="AR22" t="str">
            <v>skoledag</v>
          </cell>
          <cell r="AV22" t="str">
            <v>on</v>
          </cell>
          <cell r="BA22" t="str">
            <v>lø</v>
          </cell>
          <cell r="BF22" t="str">
            <v>ma</v>
          </cell>
        </row>
        <row r="23">
          <cell r="C23" t="str">
            <v>on</v>
          </cell>
          <cell r="H23" t="str">
            <v>lø</v>
          </cell>
          <cell r="M23" t="str">
            <v>ma</v>
          </cell>
          <cell r="R23" t="str">
            <v>to</v>
          </cell>
          <cell r="W23" t="str">
            <v>lø</v>
          </cell>
          <cell r="AB23" t="str">
            <v>ti</v>
          </cell>
          <cell r="AG23" t="str">
            <v>fr</v>
          </cell>
          <cell r="AL23" t="str">
            <v>lø</v>
          </cell>
          <cell r="AQ23" t="str">
            <v>ti</v>
          </cell>
          <cell r="AR23" t="str">
            <v>skoledag</v>
          </cell>
          <cell r="AV23" t="str">
            <v>to</v>
          </cell>
          <cell r="BA23" t="str">
            <v>sø</v>
          </cell>
          <cell r="BF23" t="str">
            <v>ti</v>
          </cell>
        </row>
        <row r="24">
          <cell r="C24" t="str">
            <v>to</v>
          </cell>
          <cell r="H24" t="str">
            <v>sø</v>
          </cell>
          <cell r="M24" t="str">
            <v>ti</v>
          </cell>
          <cell r="R24" t="str">
            <v>fr</v>
          </cell>
          <cell r="W24" t="str">
            <v>sø</v>
          </cell>
          <cell r="AB24" t="str">
            <v>on</v>
          </cell>
          <cell r="AG24" t="str">
            <v>lø</v>
          </cell>
          <cell r="AL24" t="str">
            <v>sø</v>
          </cell>
          <cell r="AQ24" t="str">
            <v>on</v>
          </cell>
          <cell r="AR24" t="str">
            <v>skoledag</v>
          </cell>
          <cell r="AV24" t="str">
            <v>fr</v>
          </cell>
          <cell r="BA24" t="str">
            <v>ma</v>
          </cell>
          <cell r="BF24" t="str">
            <v>on</v>
          </cell>
        </row>
        <row r="25">
          <cell r="C25" t="str">
            <v>fr</v>
          </cell>
          <cell r="H25" t="str">
            <v>ma</v>
          </cell>
          <cell r="M25" t="str">
            <v>on</v>
          </cell>
          <cell r="R25" t="str">
            <v>lø</v>
          </cell>
          <cell r="W25" t="str">
            <v>ma</v>
          </cell>
          <cell r="AB25" t="str">
            <v>to</v>
          </cell>
          <cell r="AG25" t="str">
            <v>sø</v>
          </cell>
          <cell r="AL25" t="str">
            <v>ma</v>
          </cell>
          <cell r="AQ25" t="str">
            <v>to</v>
          </cell>
          <cell r="AR25" t="str">
            <v>skoledag</v>
          </cell>
          <cell r="AV25" t="str">
            <v>lø</v>
          </cell>
          <cell r="BA25" t="str">
            <v>ti</v>
          </cell>
          <cell r="BF25" t="str">
            <v>to</v>
          </cell>
        </row>
        <row r="26">
          <cell r="C26" t="str">
            <v>lø</v>
          </cell>
          <cell r="H26" t="str">
            <v>ti</v>
          </cell>
          <cell r="M26" t="str">
            <v>to</v>
          </cell>
          <cell r="R26" t="str">
            <v>sø</v>
          </cell>
          <cell r="W26" t="str">
            <v>ti</v>
          </cell>
          <cell r="AB26" t="str">
            <v>fr</v>
          </cell>
          <cell r="AG26" t="str">
            <v>ma</v>
          </cell>
          <cell r="AL26" t="str">
            <v>ti</v>
          </cell>
          <cell r="AQ26" t="str">
            <v>fr</v>
          </cell>
          <cell r="AR26" t="str">
            <v>fridag</v>
          </cell>
          <cell r="AV26" t="str">
            <v>sø</v>
          </cell>
          <cell r="BA26" t="str">
            <v>on</v>
          </cell>
          <cell r="BF26" t="str">
            <v>fr</v>
          </cell>
        </row>
        <row r="27">
          <cell r="C27" t="str">
            <v>sø</v>
          </cell>
          <cell r="H27" t="str">
            <v>on</v>
          </cell>
          <cell r="M27" t="str">
            <v>fr</v>
          </cell>
          <cell r="R27" t="str">
            <v>ma</v>
          </cell>
          <cell r="W27" t="str">
            <v>on</v>
          </cell>
          <cell r="AB27" t="str">
            <v>lø</v>
          </cell>
          <cell r="AG27" t="str">
            <v>ti</v>
          </cell>
          <cell r="AL27" t="str">
            <v>on</v>
          </cell>
          <cell r="AQ27" t="str">
            <v>lø</v>
          </cell>
          <cell r="AR27" t="str">
            <v>fridag</v>
          </cell>
          <cell r="AV27" t="str">
            <v>ma</v>
          </cell>
          <cell r="BA27" t="str">
            <v>to</v>
          </cell>
          <cell r="BF27" t="str">
            <v>lø</v>
          </cell>
        </row>
        <row r="28">
          <cell r="C28" t="str">
            <v>ma</v>
          </cell>
          <cell r="H28" t="str">
            <v>to</v>
          </cell>
          <cell r="M28" t="str">
            <v>lø</v>
          </cell>
          <cell r="R28" t="str">
            <v>ti</v>
          </cell>
          <cell r="W28" t="str">
            <v>to</v>
          </cell>
          <cell r="AB28" t="str">
            <v>sø</v>
          </cell>
          <cell r="AG28" t="str">
            <v>on</v>
          </cell>
          <cell r="AL28" t="str">
            <v>to</v>
          </cell>
          <cell r="AQ28" t="str">
            <v>sø</v>
          </cell>
          <cell r="AR28" t="str">
            <v>fridag</v>
          </cell>
          <cell r="AV28" t="str">
            <v>ti</v>
          </cell>
          <cell r="BA28" t="str">
            <v>fr</v>
          </cell>
          <cell r="BF28" t="str">
            <v>sø</v>
          </cell>
        </row>
        <row r="29">
          <cell r="C29" t="str">
            <v>ti</v>
          </cell>
          <cell r="H29" t="str">
            <v>fr</v>
          </cell>
          <cell r="M29" t="str">
            <v>sø</v>
          </cell>
          <cell r="R29" t="str">
            <v>on</v>
          </cell>
          <cell r="W29" t="str">
            <v>fr</v>
          </cell>
          <cell r="AB29" t="str">
            <v>ma</v>
          </cell>
          <cell r="AG29" t="str">
            <v>to</v>
          </cell>
          <cell r="AL29" t="str">
            <v>fr</v>
          </cell>
          <cell r="AQ29" t="str">
            <v>ma</v>
          </cell>
          <cell r="AR29" t="str">
            <v>skoledag</v>
          </cell>
          <cell r="AV29" t="str">
            <v>on</v>
          </cell>
          <cell r="BA29" t="str">
            <v>lø</v>
          </cell>
          <cell r="BF29" t="str">
            <v>ma</v>
          </cell>
        </row>
        <row r="30">
          <cell r="C30" t="str">
            <v>on</v>
          </cell>
          <cell r="H30" t="str">
            <v>lø</v>
          </cell>
          <cell r="M30" t="str">
            <v>ma</v>
          </cell>
          <cell r="R30" t="str">
            <v>to</v>
          </cell>
          <cell r="W30" t="str">
            <v>lø</v>
          </cell>
          <cell r="AB30" t="str">
            <v>ti</v>
          </cell>
          <cell r="AG30" t="str">
            <v>fr</v>
          </cell>
          <cell r="AL30" t="str">
            <v>lø</v>
          </cell>
          <cell r="AQ30" t="str">
            <v>ti</v>
          </cell>
          <cell r="AR30" t="str">
            <v>skoledag</v>
          </cell>
          <cell r="AV30" t="str">
            <v>to</v>
          </cell>
          <cell r="BA30" t="str">
            <v>sø</v>
          </cell>
          <cell r="BF30" t="str">
            <v>ti</v>
          </cell>
        </row>
        <row r="31">
          <cell r="C31" t="str">
            <v>to</v>
          </cell>
          <cell r="H31" t="str">
            <v>sø</v>
          </cell>
          <cell r="M31" t="str">
            <v>ti</v>
          </cell>
          <cell r="R31" t="str">
            <v>fr</v>
          </cell>
          <cell r="W31" t="str">
            <v>sø</v>
          </cell>
          <cell r="AB31" t="str">
            <v>on</v>
          </cell>
          <cell r="AG31" t="str">
            <v>lø</v>
          </cell>
          <cell r="AL31" t="str">
            <v>sø</v>
          </cell>
          <cell r="AQ31" t="str">
            <v>on</v>
          </cell>
          <cell r="AR31" t="str">
            <v>skoledag</v>
          </cell>
          <cell r="AV31" t="str">
            <v>fr</v>
          </cell>
          <cell r="BA31" t="str">
            <v>ma</v>
          </cell>
          <cell r="BF31" t="str">
            <v>on</v>
          </cell>
        </row>
        <row r="32">
          <cell r="C32" t="str">
            <v>fr</v>
          </cell>
          <cell r="H32" t="str">
            <v>ma</v>
          </cell>
          <cell r="M32" t="str">
            <v>on</v>
          </cell>
          <cell r="R32" t="str">
            <v>lø</v>
          </cell>
          <cell r="W32" t="str">
            <v>ma</v>
          </cell>
          <cell r="AB32" t="str">
            <v>to</v>
          </cell>
          <cell r="AG32" t="str">
            <v>sø</v>
          </cell>
          <cell r="AL32" t="str">
            <v>ma</v>
          </cell>
          <cell r="AQ32" t="str">
            <v>to</v>
          </cell>
          <cell r="AR32" t="str">
            <v>skoledag</v>
          </cell>
          <cell r="AV32" t="str">
            <v>lø</v>
          </cell>
          <cell r="BA32" t="str">
            <v>ti</v>
          </cell>
          <cell r="BF32" t="str">
            <v>to</v>
          </cell>
        </row>
        <row r="33">
          <cell r="C33" t="str">
            <v>lø</v>
          </cell>
          <cell r="H33" t="str">
            <v>ti</v>
          </cell>
          <cell r="M33" t="str">
            <v>to</v>
          </cell>
          <cell r="R33" t="str">
            <v>sø</v>
          </cell>
          <cell r="W33" t="str">
            <v>ti</v>
          </cell>
          <cell r="AB33" t="str">
            <v>fr</v>
          </cell>
          <cell r="AG33" t="str">
            <v>ma</v>
          </cell>
          <cell r="AL33" t="str">
            <v>ti</v>
          </cell>
          <cell r="AQ33" t="str">
            <v>fr</v>
          </cell>
          <cell r="AR33" t="str">
            <v>skoledag</v>
          </cell>
          <cell r="AV33" t="str">
            <v>sø</v>
          </cell>
          <cell r="BA33" t="str">
            <v>on</v>
          </cell>
          <cell r="BF33" t="str">
            <v>fr</v>
          </cell>
        </row>
        <row r="34">
          <cell r="C34" t="str">
            <v>sø</v>
          </cell>
          <cell r="H34" t="str">
            <v>on</v>
          </cell>
          <cell r="M34" t="str">
            <v>fr</v>
          </cell>
          <cell r="R34" t="str">
            <v>ma</v>
          </cell>
          <cell r="W34" t="str">
            <v>on</v>
          </cell>
          <cell r="AB34" t="str">
            <v>lø</v>
          </cell>
          <cell r="AL34" t="str">
            <v>on</v>
          </cell>
          <cell r="AQ34" t="str">
            <v>lø</v>
          </cell>
          <cell r="AR34" t="str">
            <v>fridag</v>
          </cell>
          <cell r="AV34" t="str">
            <v>ma</v>
          </cell>
          <cell r="BA34" t="str">
            <v>to</v>
          </cell>
          <cell r="BF34" t="str">
            <v>lø</v>
          </cell>
        </row>
        <row r="35">
          <cell r="C35" t="str">
            <v>ma</v>
          </cell>
          <cell r="M35" t="str">
            <v>sø</v>
          </cell>
          <cell r="W35" t="str">
            <v>to</v>
          </cell>
          <cell r="AB35" t="str">
            <v>sø</v>
          </cell>
          <cell r="AL35" t="str">
            <v>to</v>
          </cell>
          <cell r="AV35" t="str">
            <v>ti</v>
          </cell>
          <cell r="BF35" t="str">
            <v>sø</v>
          </cell>
        </row>
      </sheetData>
      <sheetData sheetId="2"/>
      <sheetData sheetId="3"/>
      <sheetData sheetId="4"/>
      <sheetData sheetId="5"/>
      <sheetData sheetId="6"/>
      <sheetData sheetId="7"/>
      <sheetData sheetId="8"/>
    </sheetDataSet>
  </externalBook>
</externalLink>
</file>

<file path=xl/persons/person.xml><?xml version="1.0" encoding="utf-8"?>
<personList xmlns="http://schemas.microsoft.com/office/spreadsheetml/2018/threadedcomments" xmlns:x="http://schemas.openxmlformats.org/spreadsheetml/2006/main">
  <person displayName="Tove Dohn" id="{977470C1-5292-2E41-B06C-4A3108FC6288}" userId="S::tove@friskolerne.dk::cf832d71-50f8-4653-95bd-ced5cfa07810" providerId="AD"/>
</personList>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3" dT="2021-04-07T13:51:15.67" personId="{977470C1-5292-2E41-B06C-4A3108FC6288}" id="{2BE12B20-6EE1-DB41-B134-44AC5D77B008}">
    <text>Beskæftigelsesgraden aftalt i ansættelsesbrevet.</text>
  </threadedComment>
</ThreadedComments>
</file>

<file path=xl/threadedComments/threadedComment2.xml><?xml version="1.0" encoding="utf-8"?>
<ThreadedComments xmlns="http://schemas.microsoft.com/office/spreadsheetml/2018/threadedcomments" xmlns:x="http://schemas.openxmlformats.org/spreadsheetml/2006/main">
  <threadedComment ref="I38" dT="2021-03-02T13:01:39.32" personId="{977470C1-5292-2E41-B06C-4A3108FC6288}" id="{D2586241-4B4C-8149-AF7C-3A976D71E50B}">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D79" dT="2021-03-02T12:59:33.97" personId="{977470C1-5292-2E41-B06C-4A3108FC6288}" id="{6299BD54-428F-0942-AF97-B33CF2909EA6}">
    <text>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6.xml"/><Relationship Id="rId1" Type="http://schemas.openxmlformats.org/officeDocument/2006/relationships/printerSettings" Target="../printerSettings/printerSettings1.bin"/><Relationship Id="rId5" Type="http://schemas.microsoft.com/office/2017/10/relationships/threadedComment" Target="../threadedComments/threadedComment2.xml"/><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G97"/>
  <sheetViews>
    <sheetView topLeftCell="A39" zoomScaleNormal="100" workbookViewId="0">
      <selection activeCell="B42" sqref="B42"/>
    </sheetView>
  </sheetViews>
  <sheetFormatPr baseColWidth="10" defaultRowHeight="16"/>
  <cols>
    <col min="1" max="1" width="10.83203125" style="93"/>
    <col min="2" max="2" width="157.33203125" style="93" customWidth="1"/>
    <col min="3" max="3" width="10.83203125" style="93" customWidth="1"/>
    <col min="4" max="16384" width="10.83203125" style="93"/>
  </cols>
  <sheetData>
    <row r="1" spans="2:2">
      <c r="B1" s="125">
        <v>2021</v>
      </c>
    </row>
    <row r="2" spans="2:2">
      <c r="B2" s="126" t="s">
        <v>542</v>
      </c>
    </row>
    <row r="3" spans="2:2" ht="30" customHeight="1">
      <c r="B3" s="434" t="s">
        <v>456</v>
      </c>
    </row>
    <row r="4" spans="2:2" ht="29" customHeight="1">
      <c r="B4" s="434" t="s">
        <v>457</v>
      </c>
    </row>
    <row r="5" spans="2:2" ht="18" customHeight="1">
      <c r="B5" s="435" t="str">
        <f>"Gældende for skoleåret "&amp;B2&amp;""</f>
        <v>Gældende for skoleåret 2023-2024</v>
      </c>
    </row>
    <row r="6" spans="2:2">
      <c r="B6" s="95"/>
    </row>
    <row r="7" spans="2:2">
      <c r="B7" s="430" t="s">
        <v>397</v>
      </c>
    </row>
    <row r="8" spans="2:2">
      <c r="B8" s="679" t="s">
        <v>379</v>
      </c>
    </row>
    <row r="9" spans="2:2">
      <c r="B9" s="679"/>
    </row>
    <row r="10" spans="2:2">
      <c r="B10" s="123" t="s">
        <v>431</v>
      </c>
    </row>
    <row r="11" spans="2:2">
      <c r="B11" s="123"/>
    </row>
    <row r="12" spans="2:2">
      <c r="B12" s="430" t="s">
        <v>398</v>
      </c>
    </row>
    <row r="13" spans="2:2">
      <c r="B13" s="430" t="s">
        <v>388</v>
      </c>
    </row>
    <row r="14" spans="2:2" ht="33" customHeight="1">
      <c r="B14" s="357" t="s">
        <v>380</v>
      </c>
    </row>
    <row r="15" spans="2:2" ht="34" customHeight="1">
      <c r="B15" s="426" t="s">
        <v>551</v>
      </c>
    </row>
    <row r="16" spans="2:2" ht="8" customHeight="1">
      <c r="B16" s="578"/>
    </row>
    <row r="17" spans="1:7" ht="55" customHeight="1">
      <c r="B17" s="379" t="s">
        <v>552</v>
      </c>
      <c r="C17" s="379"/>
      <c r="D17" s="379"/>
      <c r="E17" s="379"/>
      <c r="F17" s="379"/>
      <c r="G17" s="379"/>
    </row>
    <row r="18" spans="1:7" ht="41" customHeight="1">
      <c r="B18" s="357" t="s">
        <v>458</v>
      </c>
    </row>
    <row r="19" spans="1:7" ht="20" customHeight="1">
      <c r="B19" s="426" t="s">
        <v>459</v>
      </c>
    </row>
    <row r="20" spans="1:7" ht="19" customHeight="1">
      <c r="B20" s="426" t="s">
        <v>460</v>
      </c>
    </row>
    <row r="21" spans="1:7" ht="19" customHeight="1">
      <c r="B21" s="426" t="s">
        <v>432</v>
      </c>
    </row>
    <row r="22" spans="1:7" ht="19" customHeight="1">
      <c r="B22" s="427" t="s">
        <v>461</v>
      </c>
    </row>
    <row r="23" spans="1:7" ht="51">
      <c r="B23" s="357" t="s">
        <v>556</v>
      </c>
    </row>
    <row r="24" spans="1:7" ht="34">
      <c r="B24" s="357" t="s">
        <v>557</v>
      </c>
    </row>
    <row r="25" spans="1:7" ht="51">
      <c r="B25" s="357" t="s">
        <v>612</v>
      </c>
    </row>
    <row r="26" spans="1:7" ht="56" customHeight="1">
      <c r="B26" s="357" t="s">
        <v>433</v>
      </c>
    </row>
    <row r="27" spans="1:7" ht="56" customHeight="1">
      <c r="B27" s="357" t="s">
        <v>389</v>
      </c>
    </row>
    <row r="28" spans="1:7" ht="34" customHeight="1">
      <c r="B28" s="357" t="s">
        <v>390</v>
      </c>
    </row>
    <row r="29" spans="1:7" ht="21" customHeight="1">
      <c r="A29" s="678"/>
      <c r="B29" s="677" t="s">
        <v>507</v>
      </c>
    </row>
    <row r="30" spans="1:7" ht="21" customHeight="1">
      <c r="A30" s="678"/>
      <c r="B30" s="677"/>
    </row>
    <row r="31" spans="1:7" ht="21" customHeight="1">
      <c r="A31" s="678"/>
      <c r="B31" s="677"/>
    </row>
    <row r="32" spans="1:7" ht="21" customHeight="1">
      <c r="B32" s="677" t="s">
        <v>610</v>
      </c>
    </row>
    <row r="33" spans="2:2" ht="21" customHeight="1">
      <c r="B33" s="677"/>
    </row>
    <row r="34" spans="2:2" ht="27" customHeight="1">
      <c r="B34" s="677"/>
    </row>
    <row r="35" spans="2:2" ht="22" customHeight="1">
      <c r="B35" s="677" t="s">
        <v>462</v>
      </c>
    </row>
    <row r="36" spans="2:2" ht="50" customHeight="1">
      <c r="B36" s="677"/>
    </row>
    <row r="37" spans="2:2">
      <c r="B37" s="429"/>
    </row>
    <row r="38" spans="2:2" ht="17">
      <c r="B38" s="431" t="s">
        <v>391</v>
      </c>
    </row>
    <row r="39" spans="2:2" ht="51">
      <c r="B39" s="428" t="s">
        <v>553</v>
      </c>
    </row>
    <row r="40" spans="2:2">
      <c r="B40" s="428"/>
    </row>
    <row r="41" spans="2:2" ht="17">
      <c r="B41" s="431" t="s">
        <v>392</v>
      </c>
    </row>
    <row r="42" spans="2:2" ht="85">
      <c r="B42" s="428" t="s">
        <v>554</v>
      </c>
    </row>
    <row r="43" spans="2:2">
      <c r="B43" s="428"/>
    </row>
    <row r="44" spans="2:2" ht="51">
      <c r="B44" s="428" t="s">
        <v>611</v>
      </c>
    </row>
    <row r="45" spans="2:2">
      <c r="B45" s="428"/>
    </row>
    <row r="46" spans="2:2" ht="17">
      <c r="B46" s="431" t="s">
        <v>396</v>
      </c>
    </row>
    <row r="47" spans="2:2">
      <c r="B47" s="124" t="s">
        <v>133</v>
      </c>
    </row>
    <row r="48" spans="2:2" ht="16" customHeight="1">
      <c r="B48" s="204" t="s">
        <v>182</v>
      </c>
    </row>
    <row r="49" spans="2:2" ht="38" customHeight="1">
      <c r="B49" s="206" t="s">
        <v>183</v>
      </c>
    </row>
    <row r="50" spans="2:2" ht="20" customHeight="1">
      <c r="B50" s="205" t="s">
        <v>176</v>
      </c>
    </row>
    <row r="51" spans="2:2">
      <c r="B51" s="205" t="s">
        <v>177</v>
      </c>
    </row>
    <row r="52" spans="2:2" ht="19" customHeight="1">
      <c r="B52" s="207" t="s">
        <v>184</v>
      </c>
    </row>
    <row r="53" spans="2:2" ht="22" customHeight="1">
      <c r="B53" s="205" t="s">
        <v>185</v>
      </c>
    </row>
    <row r="54" spans="2:2" ht="55" customHeight="1">
      <c r="B54" s="433" t="s">
        <v>395</v>
      </c>
    </row>
    <row r="55" spans="2:2" ht="16" customHeight="1">
      <c r="B55" s="680" t="s">
        <v>624</v>
      </c>
    </row>
    <row r="56" spans="2:2" ht="16" hidden="1" customHeight="1">
      <c r="B56" s="680"/>
    </row>
    <row r="57" spans="2:2">
      <c r="B57" s="190"/>
    </row>
    <row r="58" spans="2:2" ht="17">
      <c r="B58" s="191" t="s">
        <v>393</v>
      </c>
    </row>
    <row r="59" spans="2:2" ht="34">
      <c r="B59" s="189" t="s">
        <v>479</v>
      </c>
    </row>
    <row r="60" spans="2:2">
      <c r="B60" s="189"/>
    </row>
    <row r="61" spans="2:2" ht="17">
      <c r="B61" s="191" t="s">
        <v>134</v>
      </c>
    </row>
    <row r="62" spans="2:2" ht="34">
      <c r="B62" s="190" t="s">
        <v>434</v>
      </c>
    </row>
    <row r="63" spans="2:2" ht="17">
      <c r="B63" s="192" t="s">
        <v>435</v>
      </c>
    </row>
    <row r="64" spans="2:2" ht="17">
      <c r="B64" s="193" t="s">
        <v>436</v>
      </c>
    </row>
    <row r="65" spans="2:2" ht="55" customHeight="1">
      <c r="B65" s="194" t="s">
        <v>439</v>
      </c>
    </row>
    <row r="66" spans="2:2" ht="20" customHeight="1">
      <c r="B66" s="195" t="s">
        <v>437</v>
      </c>
    </row>
    <row r="67" spans="2:2" ht="17">
      <c r="B67" s="191" t="s">
        <v>394</v>
      </c>
    </row>
    <row r="68" spans="2:2">
      <c r="B68" s="189"/>
    </row>
    <row r="69" spans="2:2" ht="17">
      <c r="B69" s="196" t="s">
        <v>135</v>
      </c>
    </row>
    <row r="70" spans="2:2" ht="16" customHeight="1">
      <c r="B70" s="681" t="s">
        <v>438</v>
      </c>
    </row>
    <row r="71" spans="2:2">
      <c r="B71" s="681"/>
    </row>
    <row r="72" spans="2:2" ht="50" customHeight="1">
      <c r="B72" s="681"/>
    </row>
    <row r="73" spans="2:2" s="186" customFormat="1" ht="12" customHeight="1">
      <c r="B73" s="197"/>
    </row>
    <row r="74" spans="2:2" s="186" customFormat="1" ht="17" customHeight="1">
      <c r="B74" s="503" t="s">
        <v>449</v>
      </c>
    </row>
    <row r="75" spans="2:2" s="186" customFormat="1" ht="30" customHeight="1">
      <c r="B75" s="503" t="s">
        <v>450</v>
      </c>
    </row>
    <row r="76" spans="2:2">
      <c r="B76" s="197"/>
    </row>
    <row r="77" spans="2:2" ht="17">
      <c r="B77" s="198" t="s">
        <v>166</v>
      </c>
    </row>
    <row r="78" spans="2:2" ht="17">
      <c r="B78" s="199" t="s">
        <v>167</v>
      </c>
    </row>
    <row r="79" spans="2:2" ht="34">
      <c r="B79" s="199" t="s">
        <v>174</v>
      </c>
    </row>
    <row r="80" spans="2:2" ht="17">
      <c r="B80" s="199" t="s">
        <v>175</v>
      </c>
    </row>
    <row r="81" spans="2:2" ht="33" customHeight="1">
      <c r="B81" s="199" t="s">
        <v>440</v>
      </c>
    </row>
    <row r="82" spans="2:2">
      <c r="B82" s="189"/>
    </row>
    <row r="83" spans="2:2" ht="17">
      <c r="B83" s="432" t="s">
        <v>136</v>
      </c>
    </row>
    <row r="84" spans="2:2" ht="16" customHeight="1">
      <c r="B84" s="676" t="s">
        <v>513</v>
      </c>
    </row>
    <row r="85" spans="2:2">
      <c r="B85" s="676"/>
    </row>
    <row r="86" spans="2:2">
      <c r="B86" s="676"/>
    </row>
    <row r="87" spans="2:2" s="186" customFormat="1">
      <c r="B87" s="200"/>
    </row>
    <row r="88" spans="2:2" ht="17">
      <c r="B88" s="191" t="s">
        <v>108</v>
      </c>
    </row>
    <row r="89" spans="2:2" ht="16" customHeight="1">
      <c r="B89" s="675" t="s">
        <v>555</v>
      </c>
    </row>
    <row r="90" spans="2:2">
      <c r="B90" s="675"/>
    </row>
    <row r="91" spans="2:2">
      <c r="B91" s="675"/>
    </row>
    <row r="92" spans="2:2" ht="52" customHeight="1">
      <c r="B92" s="675"/>
    </row>
    <row r="93" spans="2:2" ht="65" customHeight="1">
      <c r="B93" s="506" t="s">
        <v>453</v>
      </c>
    </row>
    <row r="94" spans="2:2" ht="19" customHeight="1">
      <c r="B94" s="506"/>
    </row>
    <row r="95" spans="2:2">
      <c r="B95" s="507" t="s">
        <v>481</v>
      </c>
    </row>
    <row r="96" spans="2:2" ht="38" customHeight="1">
      <c r="B96" s="506" t="s">
        <v>451</v>
      </c>
    </row>
    <row r="97" spans="2:2">
      <c r="B97" s="93" t="s">
        <v>452</v>
      </c>
    </row>
  </sheetData>
  <sheetProtection sheet="1" objects="1" scenarios="1"/>
  <mergeCells count="9">
    <mergeCell ref="B8:B9"/>
    <mergeCell ref="B55:B56"/>
    <mergeCell ref="B70:B72"/>
    <mergeCell ref="B89:B92"/>
    <mergeCell ref="B84:B86"/>
    <mergeCell ref="B29:B31"/>
    <mergeCell ref="B32:B34"/>
    <mergeCell ref="A29:A31"/>
    <mergeCell ref="B35:B36"/>
  </mergeCells>
  <phoneticPr fontId="5" type="noConversion"/>
  <pageMargins left="0.25" right="0.25" top="0.75" bottom="0.75" header="0.3" footer="0.3"/>
  <pageSetup paperSize="9" scale="34"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6BCEB-5E23-4A49-ADC5-96E3794CC712}">
  <sheetPr>
    <tabColor theme="4" tint="-0.249977111117893"/>
    <pageSetUpPr fitToPage="1"/>
  </sheetPr>
  <dimension ref="A1:DN98"/>
  <sheetViews>
    <sheetView zoomScale="90" zoomScaleNormal="90" workbookViewId="0">
      <selection activeCell="H7" sqref="H7:H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8"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94"/>
      <c r="Y1"/>
      <c r="Z1" s="94"/>
      <c r="AA1" s="94"/>
      <c r="AE1" s="94"/>
      <c r="AG1" s="94"/>
      <c r="CV1" s="253"/>
      <c r="CW1" s="253"/>
      <c r="CY1"/>
      <c r="CZ1"/>
    </row>
    <row r="2" spans="1:118" ht="20">
      <c r="A2" s="96">
        <v>11</v>
      </c>
      <c r="B2" s="1009"/>
      <c r="C2" s="1009"/>
      <c r="D2" s="1009"/>
      <c r="E2" s="1009"/>
      <c r="F2" s="94"/>
      <c r="G2" s="94"/>
      <c r="H2" s="292"/>
      <c r="I2" s="291"/>
      <c r="J2" s="234"/>
      <c r="K2" s="234"/>
      <c r="L2" s="234"/>
      <c r="M2" s="234"/>
      <c r="N2" s="234"/>
      <c r="O2" s="234"/>
      <c r="P2" s="94"/>
      <c r="Q2" s="94"/>
      <c r="R2" s="94"/>
      <c r="S2" s="94"/>
      <c r="T2" s="94"/>
      <c r="U2" s="94"/>
      <c r="V2" s="94"/>
      <c r="W2" s="127" t="s">
        <v>31</v>
      </c>
      <c r="X2" s="127" t="s">
        <v>31</v>
      </c>
      <c r="Y2"/>
      <c r="Z2" s="94"/>
      <c r="AA2" s="94"/>
      <c r="AE2" s="94"/>
      <c r="AG2" s="94"/>
      <c r="CV2" s="253"/>
      <c r="CW2" s="253"/>
      <c r="CY2"/>
      <c r="CZ2"/>
    </row>
    <row r="3" spans="1:118">
      <c r="A3" s="1022" t="s">
        <v>316</v>
      </c>
      <c r="B3" s="1023"/>
      <c r="C3" s="1023"/>
      <c r="D3" s="1023"/>
      <c r="E3" s="1023"/>
      <c r="F3" s="1023"/>
      <c r="G3" s="1023"/>
      <c r="H3" s="1023"/>
      <c r="I3" s="1023"/>
      <c r="J3" s="1023"/>
      <c r="K3" s="1023"/>
      <c r="L3" s="1023"/>
      <c r="M3" s="1023"/>
      <c r="N3" s="1023"/>
      <c r="O3" s="1023"/>
      <c r="P3" s="1023"/>
      <c r="Q3" s="1023"/>
      <c r="R3" s="1023"/>
      <c r="S3" s="1023"/>
      <c r="T3" s="1023"/>
      <c r="U3" s="1023"/>
      <c r="V3" s="1023"/>
      <c r="W3" s="1023"/>
      <c r="X3" s="1024"/>
      <c r="Y3" s="94"/>
      <c r="Z3"/>
      <c r="AC3" s="94"/>
      <c r="AD3" s="94"/>
      <c r="AF3" s="94"/>
      <c r="CT3" s="253"/>
      <c r="CU3" s="253"/>
      <c r="CY3"/>
      <c r="CZ3"/>
    </row>
    <row r="4" spans="1:118" ht="254" customHeight="1" thickBot="1">
      <c r="A4" s="921" t="s">
        <v>463</v>
      </c>
      <c r="B4" s="922"/>
      <c r="C4" s="922"/>
      <c r="D4" s="922"/>
      <c r="E4" s="923" t="s">
        <v>317</v>
      </c>
      <c r="F4" s="923"/>
      <c r="G4" s="923"/>
      <c r="H4" s="293" t="s">
        <v>442</v>
      </c>
      <c r="I4" s="468" t="s">
        <v>511</v>
      </c>
      <c r="J4" s="468" t="s">
        <v>512</v>
      </c>
      <c r="K4" s="933" t="s">
        <v>579</v>
      </c>
      <c r="L4" s="933"/>
      <c r="M4" s="533" t="s">
        <v>499</v>
      </c>
      <c r="N4" s="533" t="s">
        <v>464</v>
      </c>
      <c r="O4" s="533" t="s">
        <v>465</v>
      </c>
      <c r="P4" s="534" t="s">
        <v>500</v>
      </c>
      <c r="Q4" s="534" t="s">
        <v>315</v>
      </c>
      <c r="R4" s="534" t="s">
        <v>466</v>
      </c>
      <c r="S4" s="535" t="s">
        <v>509</v>
      </c>
      <c r="T4" s="535" t="s">
        <v>467</v>
      </c>
      <c r="U4" s="535" t="s">
        <v>468</v>
      </c>
      <c r="V4" s="536" t="s">
        <v>501</v>
      </c>
      <c r="W4" s="536" t="s">
        <v>427</v>
      </c>
      <c r="X4" s="537" t="s">
        <v>426</v>
      </c>
      <c r="Y4" s="251"/>
      <c r="Z4" s="94"/>
      <c r="AB4" s="94"/>
      <c r="AC4" s="94"/>
      <c r="AH4" s="94"/>
      <c r="AI4" s="94"/>
      <c r="CX4" s="253"/>
      <c r="CZ4"/>
    </row>
    <row r="5" spans="1:118" ht="26" thickBot="1">
      <c r="A5" s="934" t="str">
        <f>""&amp;A7&amp;" måneds kalender for: "&amp;Stamoplysninger!E8&amp;". Måneden vedr. normperioden: "&amp;Stamoplysninger!E11&amp;" - "&amp;Stamoplysninger!G11&amp;"."</f>
        <v>November måneds kalender for: . Måneden vedr. normperioden:  - .</v>
      </c>
      <c r="B5" s="935"/>
      <c r="C5" s="935"/>
      <c r="D5" s="935"/>
      <c r="E5" s="935"/>
      <c r="F5" s="935"/>
      <c r="G5" s="935"/>
      <c r="H5" s="935"/>
      <c r="I5" s="935"/>
      <c r="J5" s="935"/>
      <c r="K5" s="935"/>
      <c r="L5" s="935"/>
      <c r="M5" s="935"/>
      <c r="N5" s="935"/>
      <c r="O5" s="935"/>
      <c r="P5" s="935"/>
      <c r="Q5" s="935"/>
      <c r="R5" s="935"/>
      <c r="S5" s="928" t="s">
        <v>424</v>
      </c>
      <c r="T5" s="929"/>
      <c r="U5" s="929"/>
      <c r="V5" s="929"/>
      <c r="W5" s="929"/>
      <c r="X5" s="930"/>
      <c r="Y5" s="251"/>
      <c r="Z5" s="94"/>
      <c r="AB5" s="94"/>
      <c r="AC5" s="94"/>
      <c r="AH5" s="94"/>
      <c r="AI5" s="94"/>
      <c r="CX5" s="253"/>
      <c r="CZ5"/>
    </row>
    <row r="6" spans="1:118" ht="47" customHeight="1">
      <c r="A6" s="346">
        <f>August!A7</f>
        <v>2023</v>
      </c>
      <c r="B6" s="246"/>
      <c r="C6" s="247"/>
      <c r="D6" s="248"/>
      <c r="E6" s="941" t="s">
        <v>516</v>
      </c>
      <c r="F6" s="942"/>
      <c r="G6" s="943"/>
      <c r="H6" s="343" t="s">
        <v>344</v>
      </c>
      <c r="I6" s="912" t="s">
        <v>510</v>
      </c>
      <c r="J6" s="939" t="s">
        <v>535</v>
      </c>
      <c r="K6" s="936" t="s">
        <v>309</v>
      </c>
      <c r="L6" s="937"/>
      <c r="M6" s="344" t="s">
        <v>310</v>
      </c>
      <c r="N6" s="912" t="s">
        <v>478</v>
      </c>
      <c r="O6" s="912" t="s">
        <v>314</v>
      </c>
      <c r="P6" s="912" t="s">
        <v>498</v>
      </c>
      <c r="Q6" s="912" t="s">
        <v>413</v>
      </c>
      <c r="R6" s="919" t="s">
        <v>580</v>
      </c>
      <c r="S6" s="913" t="s">
        <v>311</v>
      </c>
      <c r="T6" s="914"/>
      <c r="U6" s="914"/>
      <c r="V6" s="914"/>
      <c r="W6" s="914"/>
      <c r="X6" s="915"/>
      <c r="Y6" s="216"/>
      <c r="Z6" s="216"/>
      <c r="AA6" s="909" t="s">
        <v>264</v>
      </c>
      <c r="AB6" s="909"/>
      <c r="AC6" s="909"/>
      <c r="AD6" s="909"/>
      <c r="AE6" s="909"/>
      <c r="AF6" s="213"/>
      <c r="AG6" s="909" t="s">
        <v>225</v>
      </c>
      <c r="AH6" s="909"/>
      <c r="AI6" s="909"/>
      <c r="AJ6" s="909"/>
      <c r="AK6" s="909"/>
      <c r="AL6" s="909" t="s">
        <v>226</v>
      </c>
      <c r="AM6" s="909"/>
      <c r="AN6" s="909"/>
      <c r="AO6" s="909"/>
      <c r="AP6" s="909"/>
      <c r="AQ6" s="909" t="s">
        <v>227</v>
      </c>
      <c r="AR6" s="909"/>
      <c r="AS6" s="909"/>
      <c r="AT6" s="909"/>
      <c r="AU6" s="909"/>
      <c r="AV6" s="909" t="s">
        <v>228</v>
      </c>
      <c r="AW6" s="909"/>
      <c r="AX6" s="909"/>
      <c r="AY6" s="909"/>
      <c r="AZ6" s="909"/>
      <c r="BA6" s="314"/>
      <c r="BB6" s="213"/>
      <c r="BC6" s="909" t="s">
        <v>267</v>
      </c>
      <c r="BD6" s="909"/>
      <c r="BE6" s="909"/>
      <c r="BF6" s="909"/>
      <c r="BG6" s="909" t="s">
        <v>230</v>
      </c>
      <c r="BH6" s="909"/>
      <c r="BI6" s="909"/>
      <c r="BJ6" s="909"/>
      <c r="BK6" s="909"/>
      <c r="BL6" s="909" t="s">
        <v>231</v>
      </c>
      <c r="BM6" s="909"/>
      <c r="BN6" s="909"/>
      <c r="BO6" s="909"/>
      <c r="BP6" s="909"/>
      <c r="BQ6" s="909" t="s">
        <v>232</v>
      </c>
      <c r="BR6" s="909"/>
      <c r="BS6" s="909"/>
      <c r="BT6" s="909"/>
      <c r="BU6" s="909"/>
      <c r="BV6" s="909" t="s">
        <v>233</v>
      </c>
      <c r="BW6" s="909"/>
      <c r="BX6" s="909"/>
      <c r="BY6" s="909"/>
      <c r="BZ6" s="909"/>
      <c r="CD6" s="909" t="s">
        <v>268</v>
      </c>
      <c r="CE6" s="909"/>
      <c r="CF6" s="909"/>
      <c r="CG6" s="909"/>
      <c r="CH6" s="909"/>
      <c r="CI6" s="909" t="s">
        <v>270</v>
      </c>
      <c r="CJ6" s="909"/>
      <c r="CK6" s="909"/>
      <c r="CL6" s="909"/>
      <c r="CM6" s="909"/>
      <c r="CN6" s="909" t="s">
        <v>269</v>
      </c>
      <c r="CO6" s="909"/>
      <c r="CP6" s="909"/>
      <c r="CQ6" s="909"/>
      <c r="CR6" s="909"/>
      <c r="CS6" s="909" t="s">
        <v>271</v>
      </c>
      <c r="CT6" s="909"/>
      <c r="CU6" s="909"/>
      <c r="CV6" s="909"/>
      <c r="CW6" s="909"/>
      <c r="CX6" s="253"/>
      <c r="CZ6"/>
      <c r="DA6" s="682" t="s">
        <v>215</v>
      </c>
      <c r="DB6" s="682"/>
      <c r="DC6" s="682"/>
      <c r="DD6" s="682"/>
      <c r="DE6" s="682"/>
    </row>
    <row r="7" spans="1:118" ht="148" customHeight="1">
      <c r="A7" s="828" t="s">
        <v>241</v>
      </c>
      <c r="B7" s="829"/>
      <c r="C7" s="829"/>
      <c r="D7" s="830"/>
      <c r="E7" s="944"/>
      <c r="F7" s="945"/>
      <c r="G7" s="946"/>
      <c r="H7" s="910" t="s">
        <v>534</v>
      </c>
      <c r="I7" s="938"/>
      <c r="J7" s="940"/>
      <c r="K7" s="345" t="s">
        <v>581</v>
      </c>
      <c r="L7" s="345" t="s">
        <v>582</v>
      </c>
      <c r="M7" s="345" t="s">
        <v>583</v>
      </c>
      <c r="N7" s="911"/>
      <c r="O7" s="911"/>
      <c r="P7" s="911"/>
      <c r="Q7" s="911"/>
      <c r="R7" s="920"/>
      <c r="S7" s="539" t="s">
        <v>508</v>
      </c>
      <c r="T7" s="344" t="s">
        <v>313</v>
      </c>
      <c r="U7" s="344" t="s">
        <v>428</v>
      </c>
      <c r="V7" s="475" t="s">
        <v>470</v>
      </c>
      <c r="W7" s="475" t="s">
        <v>469</v>
      </c>
      <c r="X7" s="476" t="s">
        <v>425</v>
      </c>
      <c r="Y7" s="216" t="s">
        <v>282</v>
      </c>
      <c r="Z7" s="466" t="s">
        <v>283</v>
      </c>
      <c r="AA7" s="316" t="s">
        <v>214</v>
      </c>
      <c r="AB7" t="s">
        <v>137</v>
      </c>
      <c r="AC7" t="s">
        <v>140</v>
      </c>
      <c r="AD7" t="s">
        <v>139</v>
      </c>
      <c r="AE7" t="s">
        <v>138</v>
      </c>
      <c r="AF7" t="s">
        <v>444</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266</v>
      </c>
      <c r="BD7" t="s">
        <v>265</v>
      </c>
      <c r="BE7" t="s">
        <v>251</v>
      </c>
      <c r="BF7" t="s">
        <v>252</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254</v>
      </c>
      <c r="CC7" s="316" t="s">
        <v>255</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280</v>
      </c>
      <c r="CY7" s="253" t="s">
        <v>272</v>
      </c>
      <c r="CZ7" s="253" t="s">
        <v>273</v>
      </c>
      <c r="DA7" s="253" t="s">
        <v>274</v>
      </c>
      <c r="DB7" s="253" t="s">
        <v>275</v>
      </c>
      <c r="DC7" s="253" t="s">
        <v>276</v>
      </c>
      <c r="DD7" s="253" t="s">
        <v>277</v>
      </c>
      <c r="DE7" s="253" t="s">
        <v>278</v>
      </c>
      <c r="DF7" s="253" t="s">
        <v>279</v>
      </c>
      <c r="DG7" s="253"/>
    </row>
    <row r="8" spans="1:118" ht="20" customHeight="1">
      <c r="A8" s="831"/>
      <c r="B8" s="832"/>
      <c r="C8" s="832"/>
      <c r="D8" s="833"/>
      <c r="E8" s="947"/>
      <c r="F8" s="948"/>
      <c r="G8" s="949"/>
      <c r="H8" s="911"/>
      <c r="I8" s="931" t="s">
        <v>409</v>
      </c>
      <c r="J8" s="918"/>
      <c r="K8" s="931" t="s">
        <v>346</v>
      </c>
      <c r="L8" s="917"/>
      <c r="M8" s="917"/>
      <c r="N8" s="917"/>
      <c r="O8" s="917"/>
      <c r="P8" s="917"/>
      <c r="Q8" s="917"/>
      <c r="R8" s="917"/>
      <c r="S8" s="916" t="s">
        <v>409</v>
      </c>
      <c r="T8" s="917"/>
      <c r="U8" s="918"/>
      <c r="V8" s="998" t="s">
        <v>410</v>
      </c>
      <c r="W8" s="999"/>
      <c r="X8" s="1000"/>
      <c r="Y8" s="216"/>
      <c r="Z8" s="466"/>
      <c r="AA8" s="316"/>
      <c r="BB8" s="232"/>
      <c r="CA8" s="116"/>
      <c r="CB8" s="238"/>
      <c r="CC8" s="316"/>
      <c r="CX8" s="253"/>
      <c r="DA8" s="253"/>
      <c r="DB8" s="253"/>
      <c r="DC8" s="253"/>
      <c r="DD8" s="253"/>
      <c r="DE8" s="253"/>
      <c r="DF8" s="253"/>
      <c r="DG8" s="253"/>
      <c r="DH8" t="s">
        <v>543</v>
      </c>
      <c r="DI8" t="s">
        <v>544</v>
      </c>
      <c r="DJ8" t="s">
        <v>545</v>
      </c>
    </row>
    <row r="9" spans="1:118">
      <c r="A9" s="249">
        <f>IF(ISNUMBER(A7),A7+1,1)</f>
        <v>1</v>
      </c>
      <c r="B9" s="132" t="str">
        <f t="shared" ref="B9:B38" si="0">CHOOSE(MOD(WEEKDAY(DATE(A$6,A$2,A9)),7)+1,"lø","sø","ma","ti","on","to","fr",)</f>
        <v>on</v>
      </c>
      <c r="C9" s="133" t="s">
        <v>209</v>
      </c>
      <c r="D9" s="134" t="str">
        <f t="shared" ref="D9:D38" si="1">IF(B9="ma",(DATE(A$6,A$2,A9)-DATE(A$6,1,1)+7)/7,"")</f>
        <v/>
      </c>
      <c r="E9" s="871"/>
      <c r="F9" s="872"/>
      <c r="G9" s="873"/>
      <c r="H9" s="313"/>
      <c r="I9" s="582"/>
      <c r="J9" s="440"/>
      <c r="K9" s="405"/>
      <c r="L9" s="405"/>
      <c r="M9" s="405"/>
      <c r="N9" s="334">
        <f>BA9</f>
        <v>0</v>
      </c>
      <c r="O9" s="334">
        <f>CA9</f>
        <v>0</v>
      </c>
      <c r="P9" s="334">
        <f>IF(Stamoplysninger!$H$29="JA",November!DG9,CX9)</f>
        <v>0</v>
      </c>
      <c r="Q9" s="334">
        <f>IF(OR(C9="Lejrskole",C9="Ekskursion"),0,N9-O9-P9)</f>
        <v>0</v>
      </c>
      <c r="R9" s="335"/>
      <c r="S9" s="341"/>
      <c r="T9" s="342"/>
      <c r="U9" s="342"/>
      <c r="V9" s="462"/>
      <c r="W9" s="336"/>
      <c r="X9" s="469"/>
      <c r="Y9">
        <f>IF($S$9="x",V9-N9,0)</f>
        <v>0</v>
      </c>
      <c r="Z9" s="467">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1",B9="ma"),Arbejdstidsoversigt!$E$44,"")</f>
        <v/>
      </c>
      <c r="AH9" t="str">
        <f>IF(AND(C9="Skema 1",B9="ti"),Arbejdstidsoversigt!$E$45,"")</f>
        <v/>
      </c>
      <c r="AI9">
        <f>IF(AND(C9="Skema 1",B9="on"),Arbejdstidsoversigt!$E$46,"")</f>
        <v>0</v>
      </c>
      <c r="AJ9" t="str">
        <f>IF(AND(C9="Skema 1",B9="to"),Arbejdstidsoversigt!$E$47,"")</f>
        <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8" si="7">SUM(AG9:AK9)*24</f>
        <v>0</v>
      </c>
      <c r="BC9" s="1">
        <f>IF($C$9="Lejrskole",$L$9,0)</f>
        <v>0</v>
      </c>
      <c r="BD9" s="1">
        <f t="shared" ref="BD9:BD38" si="8">IF(C9="Ekskursion",L9,0)</f>
        <v>0</v>
      </c>
      <c r="BE9" s="1">
        <f t="shared" ref="BE9:BE38" si="9">IF(C9="fagdag",L9,0)</f>
        <v>0</v>
      </c>
      <c r="BF9" s="1">
        <f t="shared" ref="BF9:BF38" si="10">IF(C9="emnedag",L9,0)</f>
        <v>0</v>
      </c>
      <c r="BG9" s="214" t="str">
        <f>IF(AND($C$9="Skema 1",$B$9="ma"),Skemaoplysninger!E30,"")</f>
        <v/>
      </c>
      <c r="BH9" s="214" t="str">
        <f>IF(AND(C9="Skema 1",B9="ti"),Skemaoplysninger!$F$30,"")</f>
        <v/>
      </c>
      <c r="BI9" s="214">
        <f>IF(AND(C9="Skema 1",B9="on"),Skemaoplysninger!$G$30,"")</f>
        <v>0</v>
      </c>
      <c r="BJ9" s="214" t="str">
        <f>IF(AND(C9="Skema 1",B9="to"),Skemaoplysninger!$H$30,"")</f>
        <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8" si="11">IF(C9="fagdag",M9,0)</f>
        <v>0</v>
      </c>
      <c r="CC9" s="1">
        <f t="shared" ref="CC9:CC38" si="12">IF(C9="emnedag",M9,0)</f>
        <v>0</v>
      </c>
      <c r="CD9" s="214" t="str">
        <f>IF(AND(C9="Skema 1",B9="ma"),Skemaoplysninger!$E$39,"")</f>
        <v/>
      </c>
      <c r="CE9" s="214" t="str">
        <f>IF(AND(C9="Skema 1",B9="ti"),Skemaoplysninger!$F$39,"")</f>
        <v/>
      </c>
      <c r="CF9" s="214">
        <f>IF(AND(C9="Skema 1",B9="on"),Skemaoplysninger!$G$39,"")</f>
        <v>0</v>
      </c>
      <c r="CG9" s="214" t="str">
        <f>IF(AND(C9="Skema 1",B9="to"),Skemaoplysninger!$H$39,"")</f>
        <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9" si="13">IF(DH9=0,"",DH9)</f>
        <v/>
      </c>
      <c r="DL9" t="str">
        <f>IF(DI9=0,"",DI9)</f>
        <v/>
      </c>
      <c r="DM9" t="str">
        <f>IF(DJ9=0,"",DJ9)</f>
        <v/>
      </c>
      <c r="DN9" t="str">
        <f>DK9&amp;""&amp;DL9&amp;""&amp;DM9</f>
        <v/>
      </c>
    </row>
    <row r="10" spans="1:118">
      <c r="A10" s="249">
        <f t="shared" ref="A10:A38" si="14">IF(ISNUMBER(A9),A9+1,1)</f>
        <v>2</v>
      </c>
      <c r="B10" s="132" t="str">
        <f t="shared" si="0"/>
        <v>to</v>
      </c>
      <c r="C10" s="133" t="s">
        <v>209</v>
      </c>
      <c r="D10" s="134" t="str">
        <f t="shared" si="1"/>
        <v/>
      </c>
      <c r="E10" s="871"/>
      <c r="F10" s="872"/>
      <c r="G10" s="873"/>
      <c r="H10" s="313"/>
      <c r="I10" s="582"/>
      <c r="J10" s="440"/>
      <c r="K10" s="405"/>
      <c r="L10" s="405"/>
      <c r="M10" s="405"/>
      <c r="N10" s="334">
        <f t="shared" ref="N10:N38" si="15">BA10</f>
        <v>0</v>
      </c>
      <c r="O10" s="334">
        <f t="shared" ref="O10:O38" si="16">CA10</f>
        <v>0</v>
      </c>
      <c r="P10" s="334">
        <f>IF(Stamoplysninger!$H$29="JA",November!DG10,CX10)</f>
        <v>0</v>
      </c>
      <c r="Q10" s="334">
        <f t="shared" ref="Q10:Q38" si="17">IF(OR(C10="Lejrskole",C10="Ekskursion"),0,N10-O10-P10)</f>
        <v>0</v>
      </c>
      <c r="R10" s="335"/>
      <c r="S10" s="341"/>
      <c r="T10" s="342"/>
      <c r="U10" s="342"/>
      <c r="V10" s="462"/>
      <c r="W10" s="336"/>
      <c r="X10" s="469"/>
      <c r="Y10">
        <f t="shared" ref="Y10:Y38" si="18">IF(S10="x",V10-N10,0)</f>
        <v>0</v>
      </c>
      <c r="Z10" s="467">
        <f t="shared" ref="Z10:Z38" si="19">W10</f>
        <v>0</v>
      </c>
      <c r="AA10" s="1">
        <f t="shared" si="2"/>
        <v>0</v>
      </c>
      <c r="AB10" s="1">
        <f t="shared" si="3"/>
        <v>0</v>
      </c>
      <c r="AC10" s="1">
        <f t="shared" si="4"/>
        <v>0</v>
      </c>
      <c r="AD10" s="1">
        <f t="shared" si="5"/>
        <v>0</v>
      </c>
      <c r="AE10" s="1">
        <f t="shared" si="6"/>
        <v>0</v>
      </c>
      <c r="AF10" s="1">
        <f>IF(C10="Orlov",7.4*Stamoplysninger!$E$15,0)</f>
        <v>0</v>
      </c>
      <c r="AG10" t="str">
        <f>IF(AND(C10="Skema 1",B10="ma"),Arbejdstidsoversigt!$E$44,"")</f>
        <v/>
      </c>
      <c r="AH10" t="str">
        <f>IF(AND(C10="Skema 1",B10="ti"),Arbejdstidsoversigt!$E$45,"")</f>
        <v/>
      </c>
      <c r="AI10" t="str">
        <f>IF(AND(C10="Skema 1",B10="on"),Arbejdstidsoversigt!$E$46,"")</f>
        <v/>
      </c>
      <c r="AJ10">
        <f>IF(AND(C10="Skema 1",B10="to"),Arbejdstidsoversigt!$E$47,"")</f>
        <v>0</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8" si="20">SUM(AA10:AZ10)</f>
        <v>0</v>
      </c>
      <c r="BB10" s="233">
        <f t="shared" si="7"/>
        <v>0</v>
      </c>
      <c r="BC10" s="1">
        <f t="shared" ref="BC10:BC38" si="21">IF(C10="Lejrskole",L10,0)</f>
        <v>0</v>
      </c>
      <c r="BD10" s="1">
        <f t="shared" si="8"/>
        <v>0</v>
      </c>
      <c r="BE10" s="1">
        <f t="shared" si="9"/>
        <v>0</v>
      </c>
      <c r="BF10" s="1">
        <f t="shared" si="10"/>
        <v>0</v>
      </c>
      <c r="BG10" s="214" t="str">
        <f>IF(AND(C10="Skema 1",B10="ma"),Skemaoplysninger!$E$30,"")</f>
        <v/>
      </c>
      <c r="BH10" s="214" t="str">
        <f>IF(AND(C10="Skema 1",B10="ti"),Skemaoplysninger!$F$30,"")</f>
        <v/>
      </c>
      <c r="BI10" s="214" t="str">
        <f>IF(AND(C10="Skema 1",B10="on"),Skemaoplysninger!$G$30,"")</f>
        <v/>
      </c>
      <c r="BJ10" s="214">
        <f>IF(AND(C10="Skema 1",B10="to"),Skemaoplysninger!$H$30,"")</f>
        <v>0</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8" si="22">SUM(BG10:BZ10)*24+SUM(BC10:BF10)</f>
        <v>0</v>
      </c>
      <c r="CB10" s="1">
        <f t="shared" si="11"/>
        <v>0</v>
      </c>
      <c r="CC10" s="1">
        <f t="shared" si="12"/>
        <v>0</v>
      </c>
      <c r="CD10" s="214" t="str">
        <f>IF(AND(C10="Skema 1",B10="ma"),Skemaoplysninger!$E$39,"")</f>
        <v/>
      </c>
      <c r="CE10" s="214" t="str">
        <f>IF(AND(C10="Skema 1",B10="ti"),Skemaoplysninger!$F$39,"")</f>
        <v/>
      </c>
      <c r="CF10" s="214" t="str">
        <f>IF(AND(C10="Skema 1",B10="on"),Skemaoplysninger!$G$39,"")</f>
        <v/>
      </c>
      <c r="CG10" s="214">
        <f>IF(AND(C10="Skema 1",B10="to"),Skemaoplysninger!$H$39,"")</f>
        <v>0</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8" si="23">SUM(CY10:DF10)</f>
        <v>0</v>
      </c>
      <c r="DH10" t="str">
        <f t="shared" ref="DH10:DH39" si="24">IF(AND(E10&gt;0,H10&gt;0),""&amp;E10&amp;" og "&amp;H10&amp;"","")</f>
        <v/>
      </c>
      <c r="DI10">
        <f t="shared" ref="DI10:DI38" si="25">IF(H10="",E10,"")</f>
        <v>0</v>
      </c>
      <c r="DJ10">
        <f t="shared" ref="DJ10:DJ38" si="26">IF(E10="",H10,"")</f>
        <v>0</v>
      </c>
      <c r="DK10" t="str">
        <f t="shared" si="13"/>
        <v/>
      </c>
      <c r="DL10" t="str">
        <f t="shared" si="13"/>
        <v/>
      </c>
      <c r="DM10" t="str">
        <f t="shared" si="13"/>
        <v/>
      </c>
      <c r="DN10" t="str">
        <f t="shared" ref="DN10:DN39" si="27">DK10&amp;""&amp;DL10&amp;""&amp;DM10</f>
        <v/>
      </c>
    </row>
    <row r="11" spans="1:118">
      <c r="A11" s="249">
        <f t="shared" si="14"/>
        <v>3</v>
      </c>
      <c r="B11" s="132" t="str">
        <f t="shared" si="0"/>
        <v>fr</v>
      </c>
      <c r="C11" s="133" t="s">
        <v>209</v>
      </c>
      <c r="D11" s="134" t="str">
        <f t="shared" si="1"/>
        <v/>
      </c>
      <c r="E11" s="871"/>
      <c r="F11" s="872"/>
      <c r="G11" s="873"/>
      <c r="H11" s="313"/>
      <c r="I11" s="582"/>
      <c r="J11" s="440"/>
      <c r="K11" s="405"/>
      <c r="L11" s="405"/>
      <c r="M11" s="405"/>
      <c r="N11" s="334">
        <f t="shared" si="15"/>
        <v>0</v>
      </c>
      <c r="O11" s="334">
        <f t="shared" si="16"/>
        <v>0</v>
      </c>
      <c r="P11" s="334">
        <f>IF(Stamoplysninger!$H$29="JA",November!DG11,CX11)</f>
        <v>0</v>
      </c>
      <c r="Q11" s="334">
        <f t="shared" si="17"/>
        <v>0</v>
      </c>
      <c r="R11" s="335"/>
      <c r="S11" s="341"/>
      <c r="T11" s="342"/>
      <c r="U11" s="342"/>
      <c r="V11" s="462"/>
      <c r="W11" s="336"/>
      <c r="X11" s="469"/>
      <c r="Y11">
        <f t="shared" si="18"/>
        <v>0</v>
      </c>
      <c r="Z11" s="467">
        <f t="shared" si="19"/>
        <v>0</v>
      </c>
      <c r="AA11" s="1">
        <f t="shared" si="2"/>
        <v>0</v>
      </c>
      <c r="AB11" s="1">
        <f t="shared" si="3"/>
        <v>0</v>
      </c>
      <c r="AC11" s="1">
        <f t="shared" si="4"/>
        <v>0</v>
      </c>
      <c r="AD11" s="1">
        <f t="shared" si="5"/>
        <v>0</v>
      </c>
      <c r="AE11" s="1">
        <f t="shared" si="6"/>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f>IF(AND(C11="Skema 1",B11="fr"),Arbejdstidsoversigt!$E$48,"")</f>
        <v>0</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7"/>
        <v>0</v>
      </c>
      <c r="BC11" s="1">
        <f t="shared" si="21"/>
        <v>0</v>
      </c>
      <c r="BD11" s="1">
        <f t="shared" si="8"/>
        <v>0</v>
      </c>
      <c r="BE11" s="1">
        <f t="shared" si="9"/>
        <v>0</v>
      </c>
      <c r="BF11" s="1">
        <f t="shared" si="10"/>
        <v>0</v>
      </c>
      <c r="BG11" s="214" t="str">
        <f>IF(AND(C11="Skema 1",B11="ma"),Skemaoplysninger!$E$30,"")</f>
        <v/>
      </c>
      <c r="BH11" s="214" t="str">
        <f>IF(AND(C11="Skema 1",B11="ti"),Skemaoplysninger!$F$30,"")</f>
        <v/>
      </c>
      <c r="BI11" s="214" t="str">
        <f>IF(AND(C11="Skema 1",B11="on"),Skemaoplysninger!$G$30,"")</f>
        <v/>
      </c>
      <c r="BJ11" s="214" t="str">
        <f>IF(AND(C11="Skema 1",B11="to"),Skemaoplysninger!$H$30,"")</f>
        <v/>
      </c>
      <c r="BK11" s="214">
        <f>IF(AND(C11="Skema 1",B11="fr"),Skemaoplysninger!$I$30,"")</f>
        <v>0</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1"/>
        <v>0</v>
      </c>
      <c r="CC11" s="1">
        <f t="shared" si="12"/>
        <v>0</v>
      </c>
      <c r="CD11" s="214" t="str">
        <f>IF(AND(C11="Skema 1",B11="ma"),Skemaoplysninger!$E$39,"")</f>
        <v/>
      </c>
      <c r="CE11" s="214" t="str">
        <f>IF(AND(C11="Skema 1",B11="ti"),Skemaoplysninger!$F$39,"")</f>
        <v/>
      </c>
      <c r="CF11" s="214" t="str">
        <f>IF(AND(C11="Skema 1",B11="on"),Skemaoplysninger!$G$39,"")</f>
        <v/>
      </c>
      <c r="CG11" s="214" t="str">
        <f>IF(AND(C11="Skema 1",B11="to"),Skemaoplysninger!$H$39,"")</f>
        <v/>
      </c>
      <c r="CH11" s="214">
        <f>IF(AND(C11="Skema 1",B11="fr"),Skemaoplysninger!$I$39,"")</f>
        <v>0</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3"/>
        <v/>
      </c>
      <c r="DL11" t="str">
        <f t="shared" si="13"/>
        <v/>
      </c>
      <c r="DM11" t="str">
        <f t="shared" si="13"/>
        <v/>
      </c>
      <c r="DN11" t="str">
        <f t="shared" si="27"/>
        <v/>
      </c>
    </row>
    <row r="12" spans="1:118">
      <c r="A12" s="249">
        <f t="shared" si="14"/>
        <v>4</v>
      </c>
      <c r="B12" s="132" t="str">
        <f t="shared" si="0"/>
        <v>lø</v>
      </c>
      <c r="C12" s="133" t="s">
        <v>121</v>
      </c>
      <c r="D12" s="134" t="str">
        <f t="shared" si="1"/>
        <v/>
      </c>
      <c r="E12" s="871"/>
      <c r="F12" s="872"/>
      <c r="G12" s="873"/>
      <c r="H12" s="313"/>
      <c r="I12" s="440"/>
      <c r="J12" s="440"/>
      <c r="K12" s="405"/>
      <c r="L12" s="405"/>
      <c r="M12" s="405"/>
      <c r="N12" s="334">
        <f t="shared" si="15"/>
        <v>0</v>
      </c>
      <c r="O12" s="334">
        <f t="shared" si="16"/>
        <v>0</v>
      </c>
      <c r="P12" s="334">
        <f>IF(Stamoplysninger!$H$29="JA",November!DG12,CX12)</f>
        <v>0</v>
      </c>
      <c r="Q12" s="334">
        <f t="shared" si="17"/>
        <v>0</v>
      </c>
      <c r="R12" s="335"/>
      <c r="S12" s="341"/>
      <c r="T12" s="342"/>
      <c r="U12" s="342"/>
      <c r="V12" s="462"/>
      <c r="W12" s="336"/>
      <c r="X12" s="469"/>
      <c r="Y12">
        <f t="shared" si="18"/>
        <v>0</v>
      </c>
      <c r="Z12" s="467">
        <f t="shared" si="19"/>
        <v>0</v>
      </c>
      <c r="AA12" s="1">
        <f t="shared" si="2"/>
        <v>0</v>
      </c>
      <c r="AB12" s="1">
        <f t="shared" si="3"/>
        <v>0</v>
      </c>
      <c r="AC12" s="1">
        <f t="shared" si="4"/>
        <v>0</v>
      </c>
      <c r="AD12" s="1">
        <f t="shared" si="5"/>
        <v>0</v>
      </c>
      <c r="AE12" s="1">
        <f t="shared" si="6"/>
        <v>0</v>
      </c>
      <c r="AF12" s="1">
        <f>IF(C12="Orlov",7.4*Stamoplysninger!$E$15,0)</f>
        <v>0</v>
      </c>
      <c r="AG12" t="str">
        <f>IF(AND(C12="Skema 1",B12="ma"),Arbejdstidsoversigt!$E$44,"")</f>
        <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7"/>
        <v>0</v>
      </c>
      <c r="BC12" s="1">
        <f t="shared" si="21"/>
        <v>0</v>
      </c>
      <c r="BD12" s="1">
        <f t="shared" si="8"/>
        <v>0</v>
      </c>
      <c r="BE12" s="1">
        <f t="shared" si="9"/>
        <v>0</v>
      </c>
      <c r="BF12" s="1">
        <f t="shared" si="10"/>
        <v>0</v>
      </c>
      <c r="BG12" s="214" t="str">
        <f>IF(AND(C12="Skema 1",B12="ma"),Skemaoplysninger!$E$30,"")</f>
        <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1"/>
        <v>0</v>
      </c>
      <c r="CC12" s="1">
        <f t="shared" si="12"/>
        <v>0</v>
      </c>
      <c r="CD12" s="214" t="str">
        <f>IF(AND(C12="Skema 1",B12="ma"),Skemaoplysninger!$E$39,"")</f>
        <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3"/>
        <v/>
      </c>
      <c r="DL12" t="str">
        <f t="shared" si="13"/>
        <v/>
      </c>
      <c r="DM12" t="str">
        <f t="shared" si="13"/>
        <v/>
      </c>
      <c r="DN12" t="str">
        <f t="shared" si="27"/>
        <v/>
      </c>
    </row>
    <row r="13" spans="1:118">
      <c r="A13" s="249">
        <f t="shared" si="14"/>
        <v>5</v>
      </c>
      <c r="B13" s="132" t="str">
        <f t="shared" si="0"/>
        <v>sø</v>
      </c>
      <c r="C13" s="133" t="s">
        <v>121</v>
      </c>
      <c r="D13" s="134" t="str">
        <f t="shared" si="1"/>
        <v/>
      </c>
      <c r="E13" s="871"/>
      <c r="F13" s="872"/>
      <c r="G13" s="873"/>
      <c r="H13" s="313"/>
      <c r="I13" s="440"/>
      <c r="J13" s="440"/>
      <c r="K13" s="405"/>
      <c r="L13" s="405"/>
      <c r="M13" s="405"/>
      <c r="N13" s="334">
        <f t="shared" si="15"/>
        <v>0</v>
      </c>
      <c r="O13" s="334">
        <f t="shared" si="16"/>
        <v>0</v>
      </c>
      <c r="P13" s="334">
        <f>IF(Stamoplysninger!$H$29="JA",November!DG13,CX13)</f>
        <v>0</v>
      </c>
      <c r="Q13" s="334">
        <f t="shared" si="17"/>
        <v>0</v>
      </c>
      <c r="R13" s="335"/>
      <c r="S13" s="341"/>
      <c r="T13" s="342"/>
      <c r="U13" s="342"/>
      <c r="V13" s="462"/>
      <c r="W13" s="336"/>
      <c r="X13" s="469"/>
      <c r="Y13">
        <f t="shared" si="18"/>
        <v>0</v>
      </c>
      <c r="Z13" s="467">
        <f t="shared" si="19"/>
        <v>0</v>
      </c>
      <c r="AA13" s="1">
        <f t="shared" si="2"/>
        <v>0</v>
      </c>
      <c r="AB13" s="1">
        <f t="shared" si="3"/>
        <v>0</v>
      </c>
      <c r="AC13" s="1">
        <f t="shared" si="4"/>
        <v>0</v>
      </c>
      <c r="AD13" s="1">
        <f t="shared" si="5"/>
        <v>0</v>
      </c>
      <c r="AE13" s="1">
        <f t="shared" si="6"/>
        <v>0</v>
      </c>
      <c r="AF13" s="1">
        <f>IF(C13="Orlov",7.4*Stamoplysninger!$E$15,0)</f>
        <v>0</v>
      </c>
      <c r="AG13" t="str">
        <f>IF(AND(C13="Skema 1",B13="ma"),Arbejdstidsoversigt!$E$44,"")</f>
        <v/>
      </c>
      <c r="AH13" t="str">
        <f>IF(AND(C13="Skema 1",B13="ti"),Arbejdstidsoversigt!$E$45,"")</f>
        <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0</v>
      </c>
      <c r="BB13" s="233">
        <f t="shared" si="7"/>
        <v>0</v>
      </c>
      <c r="BC13" s="1">
        <f t="shared" si="21"/>
        <v>0</v>
      </c>
      <c r="BD13" s="1">
        <f t="shared" si="8"/>
        <v>0</v>
      </c>
      <c r="BE13" s="1">
        <f t="shared" si="9"/>
        <v>0</v>
      </c>
      <c r="BF13" s="1">
        <f t="shared" si="10"/>
        <v>0</v>
      </c>
      <c r="BG13" s="214" t="str">
        <f>IF(AND(C13="Skema 1",B13="ma"),Skemaoplysninger!$E$30,"")</f>
        <v/>
      </c>
      <c r="BH13" s="214" t="str">
        <f>IF(AND(C13="Skema 1",B13="ti"),Skemaoplysninger!$F$30,"")</f>
        <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1"/>
        <v>0</v>
      </c>
      <c r="CC13" s="1">
        <f t="shared" si="12"/>
        <v>0</v>
      </c>
      <c r="CD13" s="214" t="str">
        <f>IF(AND(C13="Skema 1",B13="ma"),Skemaoplysninger!$E$39,"")</f>
        <v/>
      </c>
      <c r="CE13" s="214" t="str">
        <f>IF(AND(C13="Skema 1",B13="ti"),Skemaoplysninger!$F$39,"")</f>
        <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3"/>
        <v/>
      </c>
      <c r="DL13" t="str">
        <f t="shared" si="13"/>
        <v/>
      </c>
      <c r="DM13" t="str">
        <f t="shared" si="13"/>
        <v/>
      </c>
      <c r="DN13" t="str">
        <f t="shared" si="27"/>
        <v/>
      </c>
    </row>
    <row r="14" spans="1:118" ht="16" customHeight="1">
      <c r="A14" s="249">
        <f t="shared" si="14"/>
        <v>6</v>
      </c>
      <c r="B14" s="132" t="str">
        <f t="shared" si="0"/>
        <v>ma</v>
      </c>
      <c r="C14" s="133" t="s">
        <v>209</v>
      </c>
      <c r="D14" s="134">
        <f t="shared" si="1"/>
        <v>45.142857142857146</v>
      </c>
      <c r="E14" s="871"/>
      <c r="F14" s="872"/>
      <c r="G14" s="873"/>
      <c r="H14" s="313"/>
      <c r="I14" s="582"/>
      <c r="J14" s="440"/>
      <c r="K14" s="405"/>
      <c r="L14" s="405"/>
      <c r="M14" s="405"/>
      <c r="N14" s="334">
        <f t="shared" si="15"/>
        <v>0</v>
      </c>
      <c r="O14" s="334">
        <f t="shared" si="16"/>
        <v>0</v>
      </c>
      <c r="P14" s="334">
        <f>IF(Stamoplysninger!$H$29="JA",November!DG14,CX14)</f>
        <v>0</v>
      </c>
      <c r="Q14" s="334">
        <f t="shared" si="17"/>
        <v>0</v>
      </c>
      <c r="R14" s="335"/>
      <c r="S14" s="341"/>
      <c r="T14" s="342"/>
      <c r="U14" s="342"/>
      <c r="V14" s="462"/>
      <c r="W14" s="336"/>
      <c r="X14" s="469"/>
      <c r="Y14">
        <f t="shared" si="18"/>
        <v>0</v>
      </c>
      <c r="Z14" s="467">
        <f t="shared" si="19"/>
        <v>0</v>
      </c>
      <c r="AA14" s="1">
        <f t="shared" si="2"/>
        <v>0</v>
      </c>
      <c r="AB14" s="1">
        <f t="shared" si="3"/>
        <v>0</v>
      </c>
      <c r="AC14" s="1">
        <f t="shared" si="4"/>
        <v>0</v>
      </c>
      <c r="AD14" s="1">
        <f t="shared" si="5"/>
        <v>0</v>
      </c>
      <c r="AE14" s="1">
        <f t="shared" si="6"/>
        <v>0</v>
      </c>
      <c r="AF14" s="1">
        <f>IF(C14="Orlov",7.4*Stamoplysninger!$E$15,0)</f>
        <v>0</v>
      </c>
      <c r="AG14">
        <f>IF(AND(C14="Skema 1",B14="ma"),Arbejdstidsoversigt!$E$44,"")</f>
        <v>0</v>
      </c>
      <c r="AH14" t="str">
        <f>IF(AND(C14="Skema 1",B14="ti"),Arbejdstidsoversigt!$E$45,"")</f>
        <v/>
      </c>
      <c r="AI14" t="str">
        <f>IF(AND(C14="Skema 1",B14="on"),Arbejdstidsoversigt!$E$46,"")</f>
        <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0</v>
      </c>
      <c r="BB14" s="233">
        <f t="shared" si="7"/>
        <v>0</v>
      </c>
      <c r="BC14" s="1">
        <f t="shared" si="21"/>
        <v>0</v>
      </c>
      <c r="BD14" s="1">
        <f t="shared" si="8"/>
        <v>0</v>
      </c>
      <c r="BE14" s="1">
        <f t="shared" si="9"/>
        <v>0</v>
      </c>
      <c r="BF14" s="1">
        <f t="shared" si="10"/>
        <v>0</v>
      </c>
      <c r="BG14" s="214">
        <f>IF(AND(C14="Skema 1",B14="ma"),Skemaoplysninger!$E$30,"")</f>
        <v>0</v>
      </c>
      <c r="BH14" s="214" t="str">
        <f>IF(AND(C14="Skema 1",B14="ti"),Skemaoplysninger!$F$30,"")</f>
        <v/>
      </c>
      <c r="BI14" s="214" t="str">
        <f>IF(AND(C14="Skema 1",B14="on"),Skemaoplysninger!$G$30,"")</f>
        <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1"/>
        <v>0</v>
      </c>
      <c r="CC14" s="1">
        <f t="shared" si="12"/>
        <v>0</v>
      </c>
      <c r="CD14" s="214">
        <f>IF(AND(C14="Skema 1",B14="ma"),Skemaoplysninger!$E$39,"")</f>
        <v>0</v>
      </c>
      <c r="CE14" s="214" t="str">
        <f>IF(AND(C14="Skema 1",B14="ti"),Skemaoplysninger!$F$39,"")</f>
        <v/>
      </c>
      <c r="CF14" s="214" t="str">
        <f>IF(AND(C14="Skema 1",B14="on"),Skemaoplysninger!$G$39,"")</f>
        <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3"/>
        <v/>
      </c>
      <c r="DL14" t="str">
        <f t="shared" si="13"/>
        <v/>
      </c>
      <c r="DM14" t="str">
        <f t="shared" si="13"/>
        <v/>
      </c>
      <c r="DN14" t="str">
        <f t="shared" si="27"/>
        <v/>
      </c>
    </row>
    <row r="15" spans="1:118" ht="16" customHeight="1">
      <c r="A15" s="249">
        <f t="shared" si="14"/>
        <v>7</v>
      </c>
      <c r="B15" s="132" t="str">
        <f t="shared" si="0"/>
        <v>ti</v>
      </c>
      <c r="C15" s="133" t="s">
        <v>209</v>
      </c>
      <c r="D15" s="134" t="str">
        <f t="shared" si="1"/>
        <v/>
      </c>
      <c r="E15" s="871"/>
      <c r="F15" s="872"/>
      <c r="G15" s="873"/>
      <c r="H15" s="313"/>
      <c r="I15" s="582"/>
      <c r="J15" s="440"/>
      <c r="K15" s="405"/>
      <c r="L15" s="405"/>
      <c r="M15" s="405"/>
      <c r="N15" s="334">
        <f t="shared" si="15"/>
        <v>0</v>
      </c>
      <c r="O15" s="334">
        <f t="shared" si="16"/>
        <v>0</v>
      </c>
      <c r="P15" s="334">
        <f>IF(Stamoplysninger!$H$29="JA",November!DG15,CX15)</f>
        <v>0</v>
      </c>
      <c r="Q15" s="334">
        <f t="shared" si="17"/>
        <v>0</v>
      </c>
      <c r="R15" s="335"/>
      <c r="S15" s="341"/>
      <c r="T15" s="342"/>
      <c r="U15" s="342"/>
      <c r="V15" s="462"/>
      <c r="W15" s="336"/>
      <c r="X15" s="469"/>
      <c r="Y15">
        <f t="shared" si="18"/>
        <v>0</v>
      </c>
      <c r="Z15" s="467">
        <f t="shared" si="19"/>
        <v>0</v>
      </c>
      <c r="AA15" s="1">
        <f t="shared" si="2"/>
        <v>0</v>
      </c>
      <c r="AB15" s="1">
        <f t="shared" si="3"/>
        <v>0</v>
      </c>
      <c r="AC15" s="1">
        <f t="shared" si="4"/>
        <v>0</v>
      </c>
      <c r="AD15" s="1">
        <f t="shared" si="5"/>
        <v>0</v>
      </c>
      <c r="AE15" s="1">
        <f t="shared" si="6"/>
        <v>0</v>
      </c>
      <c r="AF15" s="1">
        <f>IF(C15="Orlov",7.4*Stamoplysninger!$E$15,0)</f>
        <v>0</v>
      </c>
      <c r="AG15" t="str">
        <f>IF(AND(C15="Skema 1",B15="ma"),Arbejdstidsoversigt!$E$44,"")</f>
        <v/>
      </c>
      <c r="AH15">
        <f>IF(AND(C15="Skema 1",B15="ti"),Arbejdstidsoversigt!$E$45,"")</f>
        <v>0</v>
      </c>
      <c r="AI15" t="str">
        <f>IF(AND(C15="Skema 1",B15="on"),Arbejdstidsoversigt!$E$46,"")</f>
        <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7"/>
        <v>0</v>
      </c>
      <c r="BC15" s="1">
        <f t="shared" si="21"/>
        <v>0</v>
      </c>
      <c r="BD15" s="1">
        <f t="shared" si="8"/>
        <v>0</v>
      </c>
      <c r="BE15" s="1">
        <f t="shared" si="9"/>
        <v>0</v>
      </c>
      <c r="BF15" s="1">
        <f t="shared" si="10"/>
        <v>0</v>
      </c>
      <c r="BG15" s="214" t="str">
        <f>IF(AND(C15="Skema 1",B15="ma"),Skemaoplysninger!$E$30,"")</f>
        <v/>
      </c>
      <c r="BH15" s="214">
        <f>IF(AND(C15="Skema 1",B15="ti"),Skemaoplysninger!$F$30,"")</f>
        <v>0</v>
      </c>
      <c r="BI15" s="214" t="str">
        <f>IF(AND(C15="Skema 1",B15="on"),Skemaoplysninger!$G$30,"")</f>
        <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1"/>
        <v>0</v>
      </c>
      <c r="CC15" s="1">
        <f t="shared" si="12"/>
        <v>0</v>
      </c>
      <c r="CD15" s="214" t="str">
        <f>IF(AND(C15="Skema 1",B15="ma"),Skemaoplysninger!$E$39,"")</f>
        <v/>
      </c>
      <c r="CE15" s="214">
        <f>IF(AND(C15="Skema 1",B15="ti"),Skemaoplysninger!$F$39,"")</f>
        <v>0</v>
      </c>
      <c r="CF15" s="214" t="str">
        <f>IF(AND(C15="Skema 1",B15="on"),Skemaoplysninger!$G$39,"")</f>
        <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3"/>
        <v/>
      </c>
      <c r="DL15" t="str">
        <f t="shared" si="13"/>
        <v/>
      </c>
      <c r="DM15" t="str">
        <f t="shared" si="13"/>
        <v/>
      </c>
      <c r="DN15" t="str">
        <f t="shared" si="27"/>
        <v/>
      </c>
    </row>
    <row r="16" spans="1:118">
      <c r="A16" s="249">
        <f t="shared" si="14"/>
        <v>8</v>
      </c>
      <c r="B16" s="132" t="str">
        <f t="shared" si="0"/>
        <v>on</v>
      </c>
      <c r="C16" s="133" t="s">
        <v>209</v>
      </c>
      <c r="D16" s="134" t="str">
        <f t="shared" si="1"/>
        <v/>
      </c>
      <c r="E16" s="871"/>
      <c r="F16" s="872"/>
      <c r="G16" s="873"/>
      <c r="H16" s="313"/>
      <c r="I16" s="582"/>
      <c r="J16" s="440"/>
      <c r="K16" s="405"/>
      <c r="L16" s="405"/>
      <c r="M16" s="405"/>
      <c r="N16" s="334">
        <f t="shared" si="15"/>
        <v>0</v>
      </c>
      <c r="O16" s="334">
        <f t="shared" si="16"/>
        <v>0</v>
      </c>
      <c r="P16" s="334">
        <f>IF(Stamoplysninger!$H$29="JA",November!DG16,CX16)</f>
        <v>0</v>
      </c>
      <c r="Q16" s="334">
        <f t="shared" si="17"/>
        <v>0</v>
      </c>
      <c r="R16" s="335"/>
      <c r="S16" s="341"/>
      <c r="T16" s="342"/>
      <c r="U16" s="342"/>
      <c r="V16" s="462"/>
      <c r="W16" s="336"/>
      <c r="X16" s="469"/>
      <c r="Y16">
        <f t="shared" si="18"/>
        <v>0</v>
      </c>
      <c r="Z16" s="467">
        <f t="shared" si="19"/>
        <v>0</v>
      </c>
      <c r="AA16" s="1">
        <f t="shared" si="2"/>
        <v>0</v>
      </c>
      <c r="AB16" s="1">
        <f t="shared" si="3"/>
        <v>0</v>
      </c>
      <c r="AC16" s="1">
        <f t="shared" si="4"/>
        <v>0</v>
      </c>
      <c r="AD16" s="1">
        <f t="shared" si="5"/>
        <v>0</v>
      </c>
      <c r="AE16" s="1">
        <f t="shared" si="6"/>
        <v>0</v>
      </c>
      <c r="AF16" s="1">
        <f>IF(C16="Orlov",7.4*Stamoplysninger!$E$15,0)</f>
        <v>0</v>
      </c>
      <c r="AG16" t="str">
        <f>IF(AND(C16="Skema 1",B16="ma"),Arbejdstidsoversigt!$E$44,"")</f>
        <v/>
      </c>
      <c r="AH16" t="str">
        <f>IF(AND(C16="Skema 1",B16="ti"),Arbejdstidsoversigt!$E$45,"")</f>
        <v/>
      </c>
      <c r="AI16">
        <f>IF(AND(C16="Skema 1",B16="on"),Arbejdstidsoversigt!$E$46,"")</f>
        <v>0</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0</v>
      </c>
      <c r="BB16" s="233">
        <f t="shared" si="7"/>
        <v>0</v>
      </c>
      <c r="BC16" s="1">
        <f t="shared" si="21"/>
        <v>0</v>
      </c>
      <c r="BD16" s="1">
        <f t="shared" si="8"/>
        <v>0</v>
      </c>
      <c r="BE16" s="1">
        <f t="shared" si="9"/>
        <v>0</v>
      </c>
      <c r="BF16" s="1">
        <f t="shared" si="10"/>
        <v>0</v>
      </c>
      <c r="BG16" s="214" t="str">
        <f>IF(AND(C16="Skema 1",B16="ma"),Skemaoplysninger!$E$30,"")</f>
        <v/>
      </c>
      <c r="BH16" s="214" t="str">
        <f>IF(AND(C16="Skema 1",B16="ti"),Skemaoplysninger!$F$30,"")</f>
        <v/>
      </c>
      <c r="BI16" s="214">
        <f>IF(AND(C16="Skema 1",B16="on"),Skemaoplysninger!$G$30,"")</f>
        <v>0</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1"/>
        <v>0</v>
      </c>
      <c r="CC16" s="1">
        <f t="shared" si="12"/>
        <v>0</v>
      </c>
      <c r="CD16" s="214" t="str">
        <f>IF(AND(C16="Skema 1",B16="ma"),Skemaoplysninger!$E$39,"")</f>
        <v/>
      </c>
      <c r="CE16" s="214" t="str">
        <f>IF(AND(C16="Skema 1",B16="ti"),Skemaoplysninger!$F$39,"")</f>
        <v/>
      </c>
      <c r="CF16" s="214">
        <f>IF(AND(C16="Skema 1",B16="on"),Skemaoplysninger!$G$39,"")</f>
        <v>0</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3"/>
        <v/>
      </c>
      <c r="DL16" t="str">
        <f t="shared" si="13"/>
        <v/>
      </c>
      <c r="DM16" t="str">
        <f t="shared" si="13"/>
        <v/>
      </c>
      <c r="DN16" t="str">
        <f t="shared" si="27"/>
        <v/>
      </c>
    </row>
    <row r="17" spans="1:118">
      <c r="A17" s="249">
        <f t="shared" si="14"/>
        <v>9</v>
      </c>
      <c r="B17" s="132" t="str">
        <f t="shared" si="0"/>
        <v>to</v>
      </c>
      <c r="C17" s="133" t="s">
        <v>209</v>
      </c>
      <c r="D17" s="134" t="str">
        <f t="shared" si="1"/>
        <v/>
      </c>
      <c r="E17" s="871"/>
      <c r="F17" s="872"/>
      <c r="G17" s="873"/>
      <c r="H17" s="313"/>
      <c r="I17" s="582"/>
      <c r="J17" s="440"/>
      <c r="K17" s="405"/>
      <c r="L17" s="405"/>
      <c r="M17" s="405"/>
      <c r="N17" s="334">
        <f t="shared" si="15"/>
        <v>0</v>
      </c>
      <c r="O17" s="334">
        <f t="shared" si="16"/>
        <v>0</v>
      </c>
      <c r="P17" s="334">
        <f>IF(Stamoplysninger!$H$29="JA",November!DG17,CX17)</f>
        <v>0</v>
      </c>
      <c r="Q17" s="334">
        <f t="shared" si="17"/>
        <v>0</v>
      </c>
      <c r="R17" s="335"/>
      <c r="S17" s="341"/>
      <c r="T17" s="342"/>
      <c r="U17" s="342"/>
      <c r="V17" s="462"/>
      <c r="W17" s="336"/>
      <c r="X17" s="469"/>
      <c r="Y17">
        <f t="shared" si="18"/>
        <v>0</v>
      </c>
      <c r="Z17" s="467">
        <f t="shared" si="19"/>
        <v>0</v>
      </c>
      <c r="AA17" s="1">
        <f t="shared" si="2"/>
        <v>0</v>
      </c>
      <c r="AB17" s="1">
        <f t="shared" si="3"/>
        <v>0</v>
      </c>
      <c r="AC17" s="1">
        <f t="shared" si="4"/>
        <v>0</v>
      </c>
      <c r="AD17" s="1">
        <f t="shared" si="5"/>
        <v>0</v>
      </c>
      <c r="AE17" s="1">
        <f t="shared" si="6"/>
        <v>0</v>
      </c>
      <c r="AF17" s="1">
        <f>IF(C17="Orlov",7.4*Stamoplysninger!$E$15,0)</f>
        <v>0</v>
      </c>
      <c r="AG17" t="str">
        <f>IF(AND(C17="Skema 1",B17="ma"),Arbejdstidsoversigt!$E$44,"")</f>
        <v/>
      </c>
      <c r="AH17" t="str">
        <f>IF(AND(C17="Skema 1",B17="ti"),Arbejdstidsoversigt!$E$45,"")</f>
        <v/>
      </c>
      <c r="AI17" t="str">
        <f>IF(AND(C17="Skema 1",B17="on"),Arbejdstidsoversigt!$E$46,"")</f>
        <v/>
      </c>
      <c r="AJ17">
        <f>IF(AND(C17="Skema 1",B17="to"),Arbejdstidsoversigt!$E$47,"")</f>
        <v>0</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7"/>
        <v>0</v>
      </c>
      <c r="BC17" s="1">
        <f t="shared" si="21"/>
        <v>0</v>
      </c>
      <c r="BD17" s="1">
        <f t="shared" si="8"/>
        <v>0</v>
      </c>
      <c r="BE17" s="1">
        <f t="shared" si="9"/>
        <v>0</v>
      </c>
      <c r="BF17" s="1">
        <f t="shared" si="10"/>
        <v>0</v>
      </c>
      <c r="BG17" s="214" t="str">
        <f>IF(AND(C17="Skema 1",B17="ma"),Skemaoplysninger!$E$30,"")</f>
        <v/>
      </c>
      <c r="BH17" s="214" t="str">
        <f>IF(AND(C17="Skema 1",B17="ti"),Skemaoplysninger!$F$30,"")</f>
        <v/>
      </c>
      <c r="BI17" s="214" t="str">
        <f>IF(AND(C17="Skema 1",B17="on"),Skemaoplysninger!$G$30,"")</f>
        <v/>
      </c>
      <c r="BJ17" s="214">
        <f>IF(AND(C17="Skema 1",B17="to"),Skemaoplysninger!$H$30,"")</f>
        <v>0</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1"/>
        <v>0</v>
      </c>
      <c r="CC17" s="1">
        <f t="shared" si="12"/>
        <v>0</v>
      </c>
      <c r="CD17" s="214" t="str">
        <f>IF(AND(C17="Skema 1",B17="ma"),Skemaoplysninger!$E$39,"")</f>
        <v/>
      </c>
      <c r="CE17" s="214" t="str">
        <f>IF(AND(C17="Skema 1",B17="ti"),Skemaoplysninger!$F$39,"")</f>
        <v/>
      </c>
      <c r="CF17" s="214" t="str">
        <f>IF(AND(C17="Skema 1",B17="on"),Skemaoplysninger!$G$39,"")</f>
        <v/>
      </c>
      <c r="CG17" s="214">
        <f>IF(AND(C17="Skema 1",B17="to"),Skemaoplysninger!$H$39,"")</f>
        <v>0</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3"/>
        <v/>
      </c>
      <c r="DL17" t="str">
        <f t="shared" si="13"/>
        <v/>
      </c>
      <c r="DM17" t="str">
        <f t="shared" si="13"/>
        <v/>
      </c>
      <c r="DN17" t="str">
        <f t="shared" si="27"/>
        <v/>
      </c>
    </row>
    <row r="18" spans="1:118">
      <c r="A18" s="249">
        <f t="shared" si="14"/>
        <v>10</v>
      </c>
      <c r="B18" s="132" t="str">
        <f t="shared" si="0"/>
        <v>fr</v>
      </c>
      <c r="C18" s="133" t="s">
        <v>209</v>
      </c>
      <c r="D18" s="134" t="str">
        <f t="shared" si="1"/>
        <v/>
      </c>
      <c r="E18" s="871"/>
      <c r="F18" s="872"/>
      <c r="G18" s="873"/>
      <c r="H18" s="313"/>
      <c r="I18" s="582"/>
      <c r="J18" s="440"/>
      <c r="K18" s="405"/>
      <c r="L18" s="405"/>
      <c r="M18" s="405"/>
      <c r="N18" s="334">
        <f t="shared" si="15"/>
        <v>0</v>
      </c>
      <c r="O18" s="334">
        <f t="shared" si="16"/>
        <v>0</v>
      </c>
      <c r="P18" s="334">
        <f>IF(Stamoplysninger!$H$29="JA",November!DG18,CX18)</f>
        <v>0</v>
      </c>
      <c r="Q18" s="334">
        <f t="shared" si="17"/>
        <v>0</v>
      </c>
      <c r="R18" s="335"/>
      <c r="S18" s="341"/>
      <c r="T18" s="342"/>
      <c r="U18" s="342"/>
      <c r="V18" s="462"/>
      <c r="W18" s="336"/>
      <c r="X18" s="469"/>
      <c r="Y18">
        <f t="shared" si="18"/>
        <v>0</v>
      </c>
      <c r="Z18" s="467">
        <f t="shared" si="19"/>
        <v>0</v>
      </c>
      <c r="AA18" s="1">
        <f t="shared" si="2"/>
        <v>0</v>
      </c>
      <c r="AB18" s="1">
        <f t="shared" si="3"/>
        <v>0</v>
      </c>
      <c r="AC18" s="1">
        <f t="shared" si="4"/>
        <v>0</v>
      </c>
      <c r="AD18" s="1">
        <f t="shared" si="5"/>
        <v>0</v>
      </c>
      <c r="AE18" s="1">
        <f t="shared" si="6"/>
        <v>0</v>
      </c>
      <c r="AF18" s="1">
        <f>IF(C18="Orlov",7.4*Stamoplysninger!$E$15,0)</f>
        <v>0</v>
      </c>
      <c r="AG18" t="str">
        <f>IF(AND(C18="Skema 1",B18="ma"),Arbejdstidsoversigt!$E$44,"")</f>
        <v/>
      </c>
      <c r="AH18" t="str">
        <f>IF(AND(C18="Skema 1",B18="ti"),Arbejdstidsoversigt!$E$45,"")</f>
        <v/>
      </c>
      <c r="AI18" t="str">
        <f>IF(AND(C18="Skema 1",B18="on"),Arbejdstidsoversigt!$E$46,"")</f>
        <v/>
      </c>
      <c r="AJ18" t="str">
        <f>IF(AND(C18="Skema 1",B18="to"),Arbejdstidsoversigt!$E$47,"")</f>
        <v/>
      </c>
      <c r="AK18">
        <f>IF(AND(C18="Skema 1",B18="fr"),Arbejdstidsoversigt!$E$48,"")</f>
        <v>0</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7"/>
        <v>0</v>
      </c>
      <c r="BC18" s="1">
        <f t="shared" si="21"/>
        <v>0</v>
      </c>
      <c r="BD18" s="1">
        <f t="shared" si="8"/>
        <v>0</v>
      </c>
      <c r="BE18" s="1">
        <f t="shared" si="9"/>
        <v>0</v>
      </c>
      <c r="BF18" s="1">
        <f t="shared" si="10"/>
        <v>0</v>
      </c>
      <c r="BG18" s="214" t="str">
        <f>IF(AND(C18="Skema 1",B18="ma"),Skemaoplysninger!$E$30,"")</f>
        <v/>
      </c>
      <c r="BH18" s="214" t="str">
        <f>IF(AND(C18="Skema 1",B18="ti"),Skemaoplysninger!$F$30,"")</f>
        <v/>
      </c>
      <c r="BI18" s="214" t="str">
        <f>IF(AND(C18="Skema 1",B18="on"),Skemaoplysninger!$G$30,"")</f>
        <v/>
      </c>
      <c r="BJ18" s="214" t="str">
        <f>IF(AND(C18="Skema 1",B18="to"),Skemaoplysninger!$H$30,"")</f>
        <v/>
      </c>
      <c r="BK18" s="214">
        <f>IF(AND(C18="Skema 1",B18="fr"),Skemaoplysninger!$I$30,"")</f>
        <v>0</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1"/>
        <v>0</v>
      </c>
      <c r="CC18" s="1">
        <f t="shared" si="12"/>
        <v>0</v>
      </c>
      <c r="CD18" s="214" t="str">
        <f>IF(AND(C18="Skema 1",B18="ma"),Skemaoplysninger!$E$39,"")</f>
        <v/>
      </c>
      <c r="CE18" s="214" t="str">
        <f>IF(AND(C18="Skema 1",B18="ti"),Skemaoplysninger!$F$39,"")</f>
        <v/>
      </c>
      <c r="CF18" s="214" t="str">
        <f>IF(AND(C18="Skema 1",B18="on"),Skemaoplysninger!$G$39,"")</f>
        <v/>
      </c>
      <c r="CG18" s="214" t="str">
        <f>IF(AND(C18="Skema 1",B18="to"),Skemaoplysninger!$H$39,"")</f>
        <v/>
      </c>
      <c r="CH18" s="214">
        <f>IF(AND(C18="Skema 1",B18="fr"),Skemaoplysninger!$I$39,"")</f>
        <v>0</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3"/>
        <v/>
      </c>
      <c r="DL18" t="str">
        <f t="shared" si="13"/>
        <v/>
      </c>
      <c r="DM18" t="str">
        <f t="shared" si="13"/>
        <v/>
      </c>
      <c r="DN18" t="str">
        <f t="shared" si="27"/>
        <v/>
      </c>
    </row>
    <row r="19" spans="1:118">
      <c r="A19" s="249">
        <f t="shared" si="14"/>
        <v>11</v>
      </c>
      <c r="B19" s="132" t="str">
        <f t="shared" si="0"/>
        <v>lø</v>
      </c>
      <c r="C19" s="133" t="s">
        <v>121</v>
      </c>
      <c r="D19" s="134" t="str">
        <f t="shared" si="1"/>
        <v/>
      </c>
      <c r="E19" s="871"/>
      <c r="F19" s="872"/>
      <c r="G19" s="873"/>
      <c r="H19" s="313"/>
      <c r="I19" s="440"/>
      <c r="J19" s="440"/>
      <c r="K19" s="405"/>
      <c r="L19" s="405"/>
      <c r="M19" s="405"/>
      <c r="N19" s="334">
        <f t="shared" si="15"/>
        <v>0</v>
      </c>
      <c r="O19" s="334">
        <f t="shared" si="16"/>
        <v>0</v>
      </c>
      <c r="P19" s="334">
        <f>IF(Stamoplysninger!$H$29="JA",November!DG19,CX19)</f>
        <v>0</v>
      </c>
      <c r="Q19" s="334">
        <f t="shared" si="17"/>
        <v>0</v>
      </c>
      <c r="R19" s="335"/>
      <c r="S19" s="341"/>
      <c r="T19" s="342"/>
      <c r="U19" s="342"/>
      <c r="V19" s="462"/>
      <c r="W19" s="336"/>
      <c r="X19" s="469"/>
      <c r="Y19">
        <f t="shared" si="18"/>
        <v>0</v>
      </c>
      <c r="Z19" s="467">
        <f t="shared" si="19"/>
        <v>0</v>
      </c>
      <c r="AA19" s="1">
        <f t="shared" si="2"/>
        <v>0</v>
      </c>
      <c r="AB19" s="1">
        <f t="shared" si="3"/>
        <v>0</v>
      </c>
      <c r="AC19" s="1">
        <f t="shared" si="4"/>
        <v>0</v>
      </c>
      <c r="AD19" s="1">
        <f t="shared" si="5"/>
        <v>0</v>
      </c>
      <c r="AE19" s="1">
        <f t="shared" si="6"/>
        <v>0</v>
      </c>
      <c r="AF19" s="1">
        <f>IF(C19="Orlov",7.4*Stamoplysninger!$E$15,0)</f>
        <v>0</v>
      </c>
      <c r="AG19" t="str">
        <f>IF(AND(C19="Skema 1",B19="ma"),Arbejdstidsoversigt!$E$44,"")</f>
        <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7"/>
        <v>0</v>
      </c>
      <c r="BC19" s="1">
        <f t="shared" si="21"/>
        <v>0</v>
      </c>
      <c r="BD19" s="1">
        <f t="shared" si="8"/>
        <v>0</v>
      </c>
      <c r="BE19" s="1">
        <f t="shared" si="9"/>
        <v>0</v>
      </c>
      <c r="BF19" s="1">
        <f t="shared" si="10"/>
        <v>0</v>
      </c>
      <c r="BG19" s="214" t="str">
        <f>IF(AND(C19="Skema 1",B19="ma"),Skemaoplysninger!$E$30,"")</f>
        <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1"/>
        <v>0</v>
      </c>
      <c r="CC19" s="1">
        <f t="shared" si="12"/>
        <v>0</v>
      </c>
      <c r="CD19" s="214" t="str">
        <f>IF(AND(C19="Skema 1",B19="ma"),Skemaoplysninger!$E$39,"")</f>
        <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3"/>
        <v/>
      </c>
      <c r="DL19" t="str">
        <f t="shared" si="13"/>
        <v/>
      </c>
      <c r="DM19" t="str">
        <f t="shared" si="13"/>
        <v/>
      </c>
      <c r="DN19" t="str">
        <f t="shared" si="27"/>
        <v/>
      </c>
    </row>
    <row r="20" spans="1:118">
      <c r="A20" s="249">
        <f>IF(ISNUMBER(A19),A19+1,1)</f>
        <v>12</v>
      </c>
      <c r="B20" s="132" t="str">
        <f t="shared" si="0"/>
        <v>sø</v>
      </c>
      <c r="C20" s="133" t="s">
        <v>121</v>
      </c>
      <c r="D20" s="134" t="str">
        <f t="shared" si="1"/>
        <v/>
      </c>
      <c r="E20" s="871"/>
      <c r="F20" s="872"/>
      <c r="G20" s="873"/>
      <c r="H20" s="313"/>
      <c r="I20" s="440"/>
      <c r="J20" s="440"/>
      <c r="K20" s="405"/>
      <c r="L20" s="405"/>
      <c r="M20" s="405"/>
      <c r="N20" s="334">
        <f t="shared" si="15"/>
        <v>0</v>
      </c>
      <c r="O20" s="334">
        <f t="shared" si="16"/>
        <v>0</v>
      </c>
      <c r="P20" s="334">
        <f>IF(Stamoplysninger!$H$29="JA",November!DG20,CX20)</f>
        <v>0</v>
      </c>
      <c r="Q20" s="334">
        <f t="shared" si="17"/>
        <v>0</v>
      </c>
      <c r="R20" s="335"/>
      <c r="S20" s="341"/>
      <c r="T20" s="342"/>
      <c r="U20" s="342"/>
      <c r="V20" s="462"/>
      <c r="W20" s="336"/>
      <c r="X20" s="469"/>
      <c r="Y20">
        <f t="shared" si="18"/>
        <v>0</v>
      </c>
      <c r="Z20" s="467">
        <f t="shared" si="19"/>
        <v>0</v>
      </c>
      <c r="AA20" s="1">
        <f t="shared" si="2"/>
        <v>0</v>
      </c>
      <c r="AB20" s="1">
        <f t="shared" si="3"/>
        <v>0</v>
      </c>
      <c r="AC20" s="1">
        <f t="shared" si="4"/>
        <v>0</v>
      </c>
      <c r="AD20" s="1">
        <f t="shared" si="5"/>
        <v>0</v>
      </c>
      <c r="AE20" s="1">
        <f t="shared" si="6"/>
        <v>0</v>
      </c>
      <c r="AF20" s="1">
        <f>IF(C20="Orlov",7.4*Stamoplysninger!$E$15,0)</f>
        <v>0</v>
      </c>
      <c r="AG20" t="str">
        <f>IF(AND(C20="Skema 1",B20="ma"),Arbejdstidsoversigt!$E$44,"")</f>
        <v/>
      </c>
      <c r="AH20" t="str">
        <f>IF(AND(C20="Skema 1",B20="ti"),Arbejdstidsoversigt!$E$45,"")</f>
        <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7"/>
        <v>0</v>
      </c>
      <c r="BC20" s="1">
        <f t="shared" si="21"/>
        <v>0</v>
      </c>
      <c r="BD20" s="1">
        <f t="shared" si="8"/>
        <v>0</v>
      </c>
      <c r="BE20" s="1">
        <f t="shared" si="9"/>
        <v>0</v>
      </c>
      <c r="BF20" s="1">
        <f t="shared" si="10"/>
        <v>0</v>
      </c>
      <c r="BG20" s="214" t="str">
        <f>IF(AND(C20="Skema 1",B20="ma"),Skemaoplysninger!$E$30,"")</f>
        <v/>
      </c>
      <c r="BH20" s="214" t="str">
        <f>IF(AND(C20="Skema 1",B20="ti"),Skemaoplysninger!$F$30,"")</f>
        <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1"/>
        <v>0</v>
      </c>
      <c r="CC20" s="1">
        <f t="shared" si="12"/>
        <v>0</v>
      </c>
      <c r="CD20" s="214" t="str">
        <f>IF(AND(C20="Skema 1",B20="ma"),Skemaoplysninger!$E$39,"")</f>
        <v/>
      </c>
      <c r="CE20" s="214" t="str">
        <f>IF(AND(C20="Skema 1",B20="ti"),Skemaoplysninger!$F$39,"")</f>
        <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f t="shared" si="25"/>
        <v>0</v>
      </c>
      <c r="DJ20">
        <f t="shared" si="26"/>
        <v>0</v>
      </c>
      <c r="DK20" t="str">
        <f t="shared" si="13"/>
        <v/>
      </c>
      <c r="DL20" t="str">
        <f t="shared" si="13"/>
        <v/>
      </c>
      <c r="DM20" t="str">
        <f t="shared" si="13"/>
        <v/>
      </c>
      <c r="DN20" t="str">
        <f t="shared" si="27"/>
        <v/>
      </c>
    </row>
    <row r="21" spans="1:118">
      <c r="A21" s="249">
        <f>IF(ISNUMBER(A20),A20+1,1)</f>
        <v>13</v>
      </c>
      <c r="B21" s="132" t="str">
        <f t="shared" si="0"/>
        <v>ma</v>
      </c>
      <c r="C21" s="133" t="s">
        <v>209</v>
      </c>
      <c r="D21" s="134">
        <f t="shared" si="1"/>
        <v>46.142857142857146</v>
      </c>
      <c r="E21" s="868"/>
      <c r="F21" s="869"/>
      <c r="G21" s="870"/>
      <c r="H21" s="312"/>
      <c r="I21" s="582"/>
      <c r="J21" s="440"/>
      <c r="K21" s="405"/>
      <c r="L21" s="405"/>
      <c r="M21" s="405"/>
      <c r="N21" s="334">
        <f t="shared" si="15"/>
        <v>0</v>
      </c>
      <c r="O21" s="334">
        <f t="shared" si="16"/>
        <v>0</v>
      </c>
      <c r="P21" s="334">
        <f>IF(Stamoplysninger!$H$29="JA",November!DG21,CX21)</f>
        <v>0</v>
      </c>
      <c r="Q21" s="334">
        <f t="shared" si="17"/>
        <v>0</v>
      </c>
      <c r="R21" s="335"/>
      <c r="S21" s="341"/>
      <c r="T21" s="342"/>
      <c r="U21" s="342"/>
      <c r="V21" s="462"/>
      <c r="W21" s="336"/>
      <c r="X21" s="469"/>
      <c r="Y21">
        <f t="shared" si="18"/>
        <v>0</v>
      </c>
      <c r="Z21" s="467">
        <f t="shared" si="19"/>
        <v>0</v>
      </c>
      <c r="AA21" s="1">
        <f t="shared" si="2"/>
        <v>0</v>
      </c>
      <c r="AB21" s="1">
        <f t="shared" si="3"/>
        <v>0</v>
      </c>
      <c r="AC21" s="1">
        <f t="shared" si="4"/>
        <v>0</v>
      </c>
      <c r="AD21" s="1">
        <f t="shared" si="5"/>
        <v>0</v>
      </c>
      <c r="AE21" s="1">
        <f t="shared" si="6"/>
        <v>0</v>
      </c>
      <c r="AF21" s="1">
        <f>IF(C21="Orlov",7.4*Stamoplysninger!$E$15,0)</f>
        <v>0</v>
      </c>
      <c r="AG21">
        <f>IF(AND(C21="Skema 1",B21="ma"),Arbejdstidsoversigt!$E$44,"")</f>
        <v>0</v>
      </c>
      <c r="AH21" t="str">
        <f>IF(AND(C21="Skema 1",B21="ti"),Arbejdstidsoversigt!$E$45,"")</f>
        <v/>
      </c>
      <c r="AI21" t="str">
        <f>IF(AND(C21="Skema 1",B21="on"),Arbejdstidsoversigt!$E$46,"")</f>
        <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7"/>
        <v>0</v>
      </c>
      <c r="BC21" s="1">
        <f t="shared" si="21"/>
        <v>0</v>
      </c>
      <c r="BD21" s="1">
        <f t="shared" si="8"/>
        <v>0</v>
      </c>
      <c r="BE21" s="1">
        <f t="shared" si="9"/>
        <v>0</v>
      </c>
      <c r="BF21" s="1">
        <f t="shared" si="10"/>
        <v>0</v>
      </c>
      <c r="BG21" s="214">
        <f>IF(AND(C21="Skema 1",B21="ma"),Skemaoplysninger!$E$30,"")</f>
        <v>0</v>
      </c>
      <c r="BH21" s="214" t="str">
        <f>IF(AND(C21="Skema 1",B21="ti"),Skemaoplysninger!$F$30,"")</f>
        <v/>
      </c>
      <c r="BI21" s="214" t="str">
        <f>IF(AND(C21="Skema 1",B21="on"),Skemaoplysninger!$G$30,"")</f>
        <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1"/>
        <v>0</v>
      </c>
      <c r="CC21" s="1">
        <f t="shared" si="12"/>
        <v>0</v>
      </c>
      <c r="CD21" s="214">
        <f>IF(AND(C21="Skema 1",B21="ma"),Skemaoplysninger!$E$39,"")</f>
        <v>0</v>
      </c>
      <c r="CE21" s="214" t="str">
        <f>IF(AND(C21="Skema 1",B21="ti"),Skemaoplysninger!$F$39,"")</f>
        <v/>
      </c>
      <c r="CF21" s="214" t="str">
        <f>IF(AND(C21="Skema 1",B21="on"),Skemaoplysninger!$G$39,"")</f>
        <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3"/>
        <v/>
      </c>
      <c r="DL21" t="str">
        <f t="shared" si="13"/>
        <v/>
      </c>
      <c r="DM21" t="str">
        <f t="shared" si="13"/>
        <v/>
      </c>
      <c r="DN21" t="str">
        <f t="shared" si="27"/>
        <v/>
      </c>
    </row>
    <row r="22" spans="1:118">
      <c r="A22" s="249">
        <f t="shared" si="14"/>
        <v>14</v>
      </c>
      <c r="B22" s="132" t="str">
        <f t="shared" si="0"/>
        <v>ti</v>
      </c>
      <c r="C22" s="133" t="s">
        <v>209</v>
      </c>
      <c r="D22" s="134" t="str">
        <f t="shared" si="1"/>
        <v/>
      </c>
      <c r="E22" s="868"/>
      <c r="F22" s="869"/>
      <c r="G22" s="870"/>
      <c r="H22" s="312"/>
      <c r="I22" s="582"/>
      <c r="J22" s="440"/>
      <c r="K22" s="405"/>
      <c r="L22" s="405"/>
      <c r="M22" s="405"/>
      <c r="N22" s="334">
        <f t="shared" si="15"/>
        <v>0</v>
      </c>
      <c r="O22" s="334">
        <f t="shared" si="16"/>
        <v>0</v>
      </c>
      <c r="P22" s="334">
        <f>IF(Stamoplysninger!$H$29="JA",November!DG22,CX22)</f>
        <v>0</v>
      </c>
      <c r="Q22" s="334">
        <f t="shared" si="17"/>
        <v>0</v>
      </c>
      <c r="R22" s="335"/>
      <c r="S22" s="341"/>
      <c r="T22" s="342"/>
      <c r="U22" s="342"/>
      <c r="V22" s="462"/>
      <c r="W22" s="336"/>
      <c r="X22" s="469"/>
      <c r="Y22">
        <f t="shared" si="18"/>
        <v>0</v>
      </c>
      <c r="Z22" s="467">
        <f t="shared" si="19"/>
        <v>0</v>
      </c>
      <c r="AA22" s="1">
        <f t="shared" si="2"/>
        <v>0</v>
      </c>
      <c r="AB22" s="1">
        <f t="shared" si="3"/>
        <v>0</v>
      </c>
      <c r="AC22" s="1">
        <f t="shared" si="4"/>
        <v>0</v>
      </c>
      <c r="AD22" s="1">
        <f t="shared" si="5"/>
        <v>0</v>
      </c>
      <c r="AE22" s="1">
        <f t="shared" si="6"/>
        <v>0</v>
      </c>
      <c r="AF22" s="1">
        <f>IF(C22="Orlov",7.4*Stamoplysninger!$E$15,0)</f>
        <v>0</v>
      </c>
      <c r="AG22" t="str">
        <f>IF(AND(C22="Skema 1",B22="ma"),Arbejdstidsoversigt!$E$44,"")</f>
        <v/>
      </c>
      <c r="AH22">
        <f>IF(AND(C22="Skema 1",B22="ti"),Arbejdstidsoversigt!$E$45,"")</f>
        <v>0</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7"/>
        <v>0</v>
      </c>
      <c r="BC22" s="1">
        <f t="shared" si="21"/>
        <v>0</v>
      </c>
      <c r="BD22" s="1">
        <f t="shared" si="8"/>
        <v>0</v>
      </c>
      <c r="BE22" s="1">
        <f t="shared" si="9"/>
        <v>0</v>
      </c>
      <c r="BF22" s="1">
        <f t="shared" si="10"/>
        <v>0</v>
      </c>
      <c r="BG22" s="214" t="str">
        <f>IF(AND(C22="Skema 1",B22="ma"),Skemaoplysninger!$E$30,"")</f>
        <v/>
      </c>
      <c r="BH22" s="214">
        <f>IF(AND(C22="Skema 1",B22="ti"),Skemaoplysninger!$F$30,"")</f>
        <v>0</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1"/>
        <v>0</v>
      </c>
      <c r="CC22" s="1">
        <f t="shared" si="12"/>
        <v>0</v>
      </c>
      <c r="CD22" s="214" t="str">
        <f>IF(AND(C22="Skema 1",B22="ma"),Skemaoplysninger!$E$39,"")</f>
        <v/>
      </c>
      <c r="CE22" s="214">
        <f>IF(AND(C22="Skema 1",B22="ti"),Skemaoplysninger!$F$39,"")</f>
        <v>0</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3"/>
        <v/>
      </c>
      <c r="DL22" t="str">
        <f t="shared" si="13"/>
        <v/>
      </c>
      <c r="DM22" t="str">
        <f t="shared" si="13"/>
        <v/>
      </c>
      <c r="DN22" t="str">
        <f t="shared" si="27"/>
        <v/>
      </c>
    </row>
    <row r="23" spans="1:118">
      <c r="A23" s="249">
        <f t="shared" si="14"/>
        <v>15</v>
      </c>
      <c r="B23" s="132" t="str">
        <f t="shared" si="0"/>
        <v>on</v>
      </c>
      <c r="C23" s="133" t="s">
        <v>209</v>
      </c>
      <c r="D23" s="134" t="str">
        <f t="shared" si="1"/>
        <v/>
      </c>
      <c r="E23" s="868"/>
      <c r="F23" s="869"/>
      <c r="G23" s="870"/>
      <c r="H23" s="312"/>
      <c r="I23" s="582"/>
      <c r="J23" s="440"/>
      <c r="K23" s="405"/>
      <c r="L23" s="405"/>
      <c r="M23" s="405"/>
      <c r="N23" s="334">
        <f t="shared" si="15"/>
        <v>0</v>
      </c>
      <c r="O23" s="334">
        <f t="shared" si="16"/>
        <v>0</v>
      </c>
      <c r="P23" s="334">
        <f>IF(Stamoplysninger!$H$29="JA",November!DG23,CX23)</f>
        <v>0</v>
      </c>
      <c r="Q23" s="334">
        <f t="shared" si="17"/>
        <v>0</v>
      </c>
      <c r="R23" s="335"/>
      <c r="S23" s="341"/>
      <c r="T23" s="342"/>
      <c r="U23" s="342"/>
      <c r="V23" s="462"/>
      <c r="W23" s="336"/>
      <c r="X23" s="469"/>
      <c r="Y23">
        <f t="shared" si="18"/>
        <v>0</v>
      </c>
      <c r="Z23" s="467">
        <f t="shared" si="19"/>
        <v>0</v>
      </c>
      <c r="AA23" s="1">
        <f t="shared" si="2"/>
        <v>0</v>
      </c>
      <c r="AB23" s="1">
        <f t="shared" si="3"/>
        <v>0</v>
      </c>
      <c r="AC23" s="1">
        <f t="shared" si="4"/>
        <v>0</v>
      </c>
      <c r="AD23" s="1">
        <f t="shared" si="5"/>
        <v>0</v>
      </c>
      <c r="AE23" s="1">
        <f t="shared" si="6"/>
        <v>0</v>
      </c>
      <c r="AF23" s="1">
        <f>IF(C23="Orlov",7.4*Stamoplysninger!$E$15,0)</f>
        <v>0</v>
      </c>
      <c r="AG23" t="str">
        <f>IF(AND(C23="Skema 1",B23="ma"),Arbejdstidsoversigt!$E$44,"")</f>
        <v/>
      </c>
      <c r="AH23" t="str">
        <f>IF(AND(C23="Skema 1",B23="ti"),Arbejdstidsoversigt!$E$45,"")</f>
        <v/>
      </c>
      <c r="AI23">
        <f>IF(AND(C23="Skema 1",B23="on"),Arbejdstidsoversigt!$E$46,"")</f>
        <v>0</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7"/>
        <v>0</v>
      </c>
      <c r="BC23" s="1">
        <f t="shared" si="21"/>
        <v>0</v>
      </c>
      <c r="BD23" s="1">
        <f t="shared" si="8"/>
        <v>0</v>
      </c>
      <c r="BE23" s="1">
        <f t="shared" si="9"/>
        <v>0</v>
      </c>
      <c r="BF23" s="1">
        <f t="shared" si="10"/>
        <v>0</v>
      </c>
      <c r="BG23" s="214" t="str">
        <f>IF(AND(C23="Skema 1",B23="ma"),Skemaoplysninger!$E$30,"")</f>
        <v/>
      </c>
      <c r="BH23" s="214" t="str">
        <f>IF(AND(C23="Skema 1",B23="ti"),Skemaoplysninger!$F$30,"")</f>
        <v/>
      </c>
      <c r="BI23" s="214">
        <f>IF(AND(C23="Skema 1",B23="on"),Skemaoplysninger!$G$30,"")</f>
        <v>0</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1"/>
        <v>0</v>
      </c>
      <c r="CC23" s="1">
        <f t="shared" si="12"/>
        <v>0</v>
      </c>
      <c r="CD23" s="214" t="str">
        <f>IF(AND(C23="Skema 1",B23="ma"),Skemaoplysninger!$E$39,"")</f>
        <v/>
      </c>
      <c r="CE23" s="214" t="str">
        <f>IF(AND(C23="Skema 1",B23="ti"),Skemaoplysninger!$F$39,"")</f>
        <v/>
      </c>
      <c r="CF23" s="214">
        <f>IF(AND(C23="Skema 1",B23="on"),Skemaoplysninger!$G$39,"")</f>
        <v>0</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3"/>
        <v/>
      </c>
      <c r="DL23" t="str">
        <f t="shared" si="13"/>
        <v/>
      </c>
      <c r="DM23" t="str">
        <f t="shared" si="13"/>
        <v/>
      </c>
      <c r="DN23" t="str">
        <f t="shared" si="27"/>
        <v/>
      </c>
    </row>
    <row r="24" spans="1:118">
      <c r="A24" s="249">
        <f>IF(ISNUMBER(A23),A23+1,1)</f>
        <v>16</v>
      </c>
      <c r="B24" s="132" t="str">
        <f t="shared" si="0"/>
        <v>to</v>
      </c>
      <c r="C24" s="133" t="s">
        <v>209</v>
      </c>
      <c r="D24" s="134" t="str">
        <f t="shared" si="1"/>
        <v/>
      </c>
      <c r="E24" s="871"/>
      <c r="F24" s="872"/>
      <c r="G24" s="873"/>
      <c r="H24" s="313"/>
      <c r="I24" s="582"/>
      <c r="J24" s="440"/>
      <c r="K24" s="405"/>
      <c r="L24" s="405"/>
      <c r="M24" s="405"/>
      <c r="N24" s="334">
        <f t="shared" si="15"/>
        <v>0</v>
      </c>
      <c r="O24" s="334">
        <f t="shared" si="16"/>
        <v>0</v>
      </c>
      <c r="P24" s="334">
        <f>IF(Stamoplysninger!$H$29="JA",November!DG24,CX24)</f>
        <v>0</v>
      </c>
      <c r="Q24" s="334">
        <f t="shared" si="17"/>
        <v>0</v>
      </c>
      <c r="R24" s="335"/>
      <c r="S24" s="341"/>
      <c r="T24" s="342"/>
      <c r="U24" s="342"/>
      <c r="V24" s="462"/>
      <c r="W24" s="336"/>
      <c r="X24" s="469"/>
      <c r="Y24">
        <f t="shared" si="18"/>
        <v>0</v>
      </c>
      <c r="Z24" s="467">
        <f t="shared" si="19"/>
        <v>0</v>
      </c>
      <c r="AA24" s="1">
        <f t="shared" si="2"/>
        <v>0</v>
      </c>
      <c r="AB24" s="1">
        <f t="shared" si="3"/>
        <v>0</v>
      </c>
      <c r="AC24" s="1">
        <f t="shared" si="4"/>
        <v>0</v>
      </c>
      <c r="AD24" s="1">
        <f t="shared" si="5"/>
        <v>0</v>
      </c>
      <c r="AE24" s="1">
        <f t="shared" si="6"/>
        <v>0</v>
      </c>
      <c r="AF24" s="1">
        <f>IF(C24="Orlov",7.4*Stamoplysninger!$E$15,0)</f>
        <v>0</v>
      </c>
      <c r="AG24" t="str">
        <f>IF(AND(C24="Skema 1",B24="ma"),Arbejdstidsoversigt!$E$44,"")</f>
        <v/>
      </c>
      <c r="AH24" t="str">
        <f>IF(AND(C24="Skema 1",B24="ti"),Arbejdstidsoversigt!$E$45,"")</f>
        <v/>
      </c>
      <c r="AI24" t="str">
        <f>IF(AND(C24="Skema 1",B24="on"),Arbejdstidsoversigt!$E$46,"")</f>
        <v/>
      </c>
      <c r="AJ24">
        <f>IF(AND(C24="Skema 1",B24="to"),Arbejdstidsoversigt!$E$47,"")</f>
        <v>0</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7"/>
        <v>0</v>
      </c>
      <c r="BC24" s="1">
        <f t="shared" si="21"/>
        <v>0</v>
      </c>
      <c r="BD24" s="1">
        <f t="shared" si="8"/>
        <v>0</v>
      </c>
      <c r="BE24" s="1">
        <f t="shared" si="9"/>
        <v>0</v>
      </c>
      <c r="BF24" s="1">
        <f t="shared" si="10"/>
        <v>0</v>
      </c>
      <c r="BG24" s="214" t="str">
        <f>IF(AND(C24="Skema 1",B24="ma"),Skemaoplysninger!$E$30,"")</f>
        <v/>
      </c>
      <c r="BH24" s="214" t="str">
        <f>IF(AND(C24="Skema 1",B24="ti"),Skemaoplysninger!$F$30,"")</f>
        <v/>
      </c>
      <c r="BI24" s="214" t="str">
        <f>IF(AND(C24="Skema 1",B24="on"),Skemaoplysninger!$G$30,"")</f>
        <v/>
      </c>
      <c r="BJ24" s="214">
        <f>IF(AND(C24="Skema 1",B24="to"),Skemaoplysninger!$H$30,"")</f>
        <v>0</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1"/>
        <v>0</v>
      </c>
      <c r="CC24" s="1">
        <f t="shared" si="12"/>
        <v>0</v>
      </c>
      <c r="CD24" s="214" t="str">
        <f>IF(AND(C24="Skema 1",B24="ma"),Skemaoplysninger!$E$39,"")</f>
        <v/>
      </c>
      <c r="CE24" s="214" t="str">
        <f>IF(AND(C24="Skema 1",B24="ti"),Skemaoplysninger!$F$39,"")</f>
        <v/>
      </c>
      <c r="CF24" s="214" t="str">
        <f>IF(AND(C24="Skema 1",B24="on"),Skemaoplysninger!$G$39,"")</f>
        <v/>
      </c>
      <c r="CG24" s="214">
        <f>IF(AND(C24="Skema 1",B24="to"),Skemaoplysninger!$H$39,"")</f>
        <v>0</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f t="shared" si="25"/>
        <v>0</v>
      </c>
      <c r="DJ24">
        <f t="shared" si="26"/>
        <v>0</v>
      </c>
      <c r="DK24" t="str">
        <f t="shared" si="13"/>
        <v/>
      </c>
      <c r="DL24" t="str">
        <f t="shared" si="13"/>
        <v/>
      </c>
      <c r="DM24" t="str">
        <f t="shared" si="13"/>
        <v/>
      </c>
      <c r="DN24" t="str">
        <f t="shared" si="27"/>
        <v/>
      </c>
    </row>
    <row r="25" spans="1:118">
      <c r="A25" s="249">
        <f t="shared" si="14"/>
        <v>17</v>
      </c>
      <c r="B25" s="132" t="str">
        <f t="shared" si="0"/>
        <v>fr</v>
      </c>
      <c r="C25" s="133" t="s">
        <v>209</v>
      </c>
      <c r="D25" s="134" t="str">
        <f t="shared" si="1"/>
        <v/>
      </c>
      <c r="E25" s="871"/>
      <c r="F25" s="872"/>
      <c r="G25" s="873"/>
      <c r="H25" s="313"/>
      <c r="I25" s="582"/>
      <c r="J25" s="440"/>
      <c r="K25" s="405"/>
      <c r="L25" s="405"/>
      <c r="M25" s="405"/>
      <c r="N25" s="334">
        <f t="shared" si="15"/>
        <v>0</v>
      </c>
      <c r="O25" s="334">
        <f t="shared" si="16"/>
        <v>0</v>
      </c>
      <c r="P25" s="334">
        <f>IF(Stamoplysninger!$H$29="JA",November!DG25,CX25)</f>
        <v>0</v>
      </c>
      <c r="Q25" s="334">
        <f t="shared" si="17"/>
        <v>0</v>
      </c>
      <c r="R25" s="335"/>
      <c r="S25" s="341"/>
      <c r="T25" s="342"/>
      <c r="U25" s="342"/>
      <c r="V25" s="462"/>
      <c r="W25" s="336"/>
      <c r="X25" s="469"/>
      <c r="Y25">
        <f t="shared" si="18"/>
        <v>0</v>
      </c>
      <c r="Z25" s="467">
        <f t="shared" si="19"/>
        <v>0</v>
      </c>
      <c r="AA25" s="1">
        <f t="shared" si="2"/>
        <v>0</v>
      </c>
      <c r="AB25" s="1">
        <f t="shared" si="3"/>
        <v>0</v>
      </c>
      <c r="AC25" s="1">
        <f t="shared" si="4"/>
        <v>0</v>
      </c>
      <c r="AD25" s="1">
        <f t="shared" si="5"/>
        <v>0</v>
      </c>
      <c r="AE25" s="1">
        <f t="shared" si="6"/>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f>IF(AND(C25="Skema 1",B25="fr"),Arbejdstidsoversigt!$E$48,"")</f>
        <v>0</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7"/>
        <v>0</v>
      </c>
      <c r="BC25" s="1">
        <f t="shared" si="21"/>
        <v>0</v>
      </c>
      <c r="BD25" s="1">
        <f t="shared" si="8"/>
        <v>0</v>
      </c>
      <c r="BE25" s="1">
        <f t="shared" si="9"/>
        <v>0</v>
      </c>
      <c r="BF25" s="1">
        <f t="shared" si="10"/>
        <v>0</v>
      </c>
      <c r="BG25" s="214" t="str">
        <f>IF(AND(C25="Skema 1",B25="ma"),Skemaoplysninger!$E$30,"")</f>
        <v/>
      </c>
      <c r="BH25" s="214" t="str">
        <f>IF(AND(C25="Skema 1",B25="ti"),Skemaoplysninger!$F$30,"")</f>
        <v/>
      </c>
      <c r="BI25" s="214" t="str">
        <f>IF(AND(C25="Skema 1",B25="on"),Skemaoplysninger!$G$30,"")</f>
        <v/>
      </c>
      <c r="BJ25" s="214" t="str">
        <f>IF(AND(C25="Skema 1",B25="to"),Skemaoplysninger!$H$30,"")</f>
        <v/>
      </c>
      <c r="BK25" s="214">
        <f>IF(AND(C25="Skema 1",B25="fr"),Skemaoplysninger!$I$30,"")</f>
        <v>0</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1"/>
        <v>0</v>
      </c>
      <c r="CC25" s="1">
        <f t="shared" si="12"/>
        <v>0</v>
      </c>
      <c r="CD25" s="214" t="str">
        <f>IF(AND(C25="Skema 1",B25="ma"),Skemaoplysninger!$E$39,"")</f>
        <v/>
      </c>
      <c r="CE25" s="214" t="str">
        <f>IF(AND(C25="Skema 1",B25="ti"),Skemaoplysninger!$F$39,"")</f>
        <v/>
      </c>
      <c r="CF25" s="214" t="str">
        <f>IF(AND(C25="Skema 1",B25="on"),Skemaoplysninger!$G$39,"")</f>
        <v/>
      </c>
      <c r="CG25" s="214" t="str">
        <f>IF(AND(C25="Skema 1",B25="to"),Skemaoplysninger!$H$39,"")</f>
        <v/>
      </c>
      <c r="CH25" s="214">
        <f>IF(AND(C25="Skema 1",B25="fr"),Skemaoplysninger!$I$39,"")</f>
        <v>0</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3"/>
        <v/>
      </c>
      <c r="DL25" t="str">
        <f t="shared" si="13"/>
        <v/>
      </c>
      <c r="DM25" t="str">
        <f t="shared" si="13"/>
        <v/>
      </c>
      <c r="DN25" t="str">
        <f t="shared" si="27"/>
        <v/>
      </c>
    </row>
    <row r="26" spans="1:118">
      <c r="A26" s="249">
        <f t="shared" si="14"/>
        <v>18</v>
      </c>
      <c r="B26" s="132" t="str">
        <f t="shared" si="0"/>
        <v>lø</v>
      </c>
      <c r="C26" s="133" t="s">
        <v>121</v>
      </c>
      <c r="D26" s="134" t="str">
        <f t="shared" si="1"/>
        <v/>
      </c>
      <c r="E26" s="871"/>
      <c r="F26" s="872"/>
      <c r="G26" s="873"/>
      <c r="H26" s="313"/>
      <c r="I26" s="440"/>
      <c r="J26" s="440"/>
      <c r="K26" s="405"/>
      <c r="L26" s="405"/>
      <c r="M26" s="405"/>
      <c r="N26" s="334">
        <f t="shared" si="15"/>
        <v>0</v>
      </c>
      <c r="O26" s="334">
        <f t="shared" si="16"/>
        <v>0</v>
      </c>
      <c r="P26" s="334">
        <f>IF(Stamoplysninger!$H$29="JA",November!DG26,CX26)</f>
        <v>0</v>
      </c>
      <c r="Q26" s="334">
        <f t="shared" si="17"/>
        <v>0</v>
      </c>
      <c r="R26" s="335"/>
      <c r="S26" s="341"/>
      <c r="T26" s="342"/>
      <c r="U26" s="342"/>
      <c r="V26" s="462"/>
      <c r="W26" s="336"/>
      <c r="X26" s="469"/>
      <c r="Y26">
        <f t="shared" si="18"/>
        <v>0</v>
      </c>
      <c r="Z26" s="467">
        <f t="shared" si="19"/>
        <v>0</v>
      </c>
      <c r="AA26" s="1">
        <f t="shared" si="2"/>
        <v>0</v>
      </c>
      <c r="AB26" s="1">
        <f t="shared" si="3"/>
        <v>0</v>
      </c>
      <c r="AC26" s="1">
        <f t="shared" si="4"/>
        <v>0</v>
      </c>
      <c r="AD26" s="1">
        <f t="shared" si="5"/>
        <v>0</v>
      </c>
      <c r="AE26" s="1">
        <f t="shared" si="6"/>
        <v>0</v>
      </c>
      <c r="AF26" s="1">
        <f>IF(C26="Orlov",7.4*Stamoplysninger!$E$15,0)</f>
        <v>0</v>
      </c>
      <c r="AG26" t="str">
        <f>IF(AND(C26="Skema 1",B26="ma"),Arbejdstidsoversigt!$E$44,"")</f>
        <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7"/>
        <v>0</v>
      </c>
      <c r="BC26" s="1">
        <f t="shared" si="21"/>
        <v>0</v>
      </c>
      <c r="BD26" s="1">
        <f t="shared" si="8"/>
        <v>0</v>
      </c>
      <c r="BE26" s="1">
        <f t="shared" si="9"/>
        <v>0</v>
      </c>
      <c r="BF26" s="1">
        <f t="shared" si="10"/>
        <v>0</v>
      </c>
      <c r="BG26" s="214" t="str">
        <f>IF(AND(C26="Skema 1",B26="ma"),Skemaoplysninger!$E$30,"")</f>
        <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1"/>
        <v>0</v>
      </c>
      <c r="CC26" s="1">
        <f t="shared" si="12"/>
        <v>0</v>
      </c>
      <c r="CD26" s="214" t="str">
        <f>IF(AND(C26="Skema 1",B26="ma"),Skemaoplysninger!$E$39,"")</f>
        <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3"/>
        <v/>
      </c>
      <c r="DL26" t="str">
        <f t="shared" si="13"/>
        <v/>
      </c>
      <c r="DM26" t="str">
        <f t="shared" si="13"/>
        <v/>
      </c>
      <c r="DN26" t="str">
        <f t="shared" si="27"/>
        <v/>
      </c>
    </row>
    <row r="27" spans="1:118">
      <c r="A27" s="249">
        <f t="shared" si="14"/>
        <v>19</v>
      </c>
      <c r="B27" s="132" t="str">
        <f t="shared" si="0"/>
        <v>sø</v>
      </c>
      <c r="C27" s="133" t="s">
        <v>121</v>
      </c>
      <c r="D27" s="134" t="str">
        <f t="shared" si="1"/>
        <v/>
      </c>
      <c r="E27" s="871"/>
      <c r="F27" s="872"/>
      <c r="G27" s="873"/>
      <c r="H27" s="313"/>
      <c r="I27" s="440"/>
      <c r="J27" s="440"/>
      <c r="K27" s="405"/>
      <c r="L27" s="405"/>
      <c r="M27" s="405"/>
      <c r="N27" s="334">
        <f t="shared" si="15"/>
        <v>0</v>
      </c>
      <c r="O27" s="334">
        <f t="shared" si="16"/>
        <v>0</v>
      </c>
      <c r="P27" s="334">
        <f>IF(Stamoplysninger!$H$29="JA",November!DG27,CX27)</f>
        <v>0</v>
      </c>
      <c r="Q27" s="334">
        <f t="shared" si="17"/>
        <v>0</v>
      </c>
      <c r="R27" s="335"/>
      <c r="S27" s="341"/>
      <c r="T27" s="342"/>
      <c r="U27" s="342"/>
      <c r="V27" s="462"/>
      <c r="W27" s="336"/>
      <c r="X27" s="469"/>
      <c r="Y27">
        <f t="shared" si="18"/>
        <v>0</v>
      </c>
      <c r="Z27" s="467">
        <f t="shared" si="19"/>
        <v>0</v>
      </c>
      <c r="AA27" s="1">
        <f t="shared" si="2"/>
        <v>0</v>
      </c>
      <c r="AB27" s="1">
        <f t="shared" si="3"/>
        <v>0</v>
      </c>
      <c r="AC27" s="1">
        <f t="shared" si="4"/>
        <v>0</v>
      </c>
      <c r="AD27" s="1">
        <f t="shared" si="5"/>
        <v>0</v>
      </c>
      <c r="AE27" s="1">
        <f t="shared" si="6"/>
        <v>0</v>
      </c>
      <c r="AF27" s="1">
        <f>IF(C27="Orlov",7.4*Stamoplysninger!$E$15,0)</f>
        <v>0</v>
      </c>
      <c r="AG27" t="str">
        <f>IF(AND(C27="Skema 1",B27="ma"),Arbejdstidsoversigt!$E$44,"")</f>
        <v/>
      </c>
      <c r="AH27" t="str">
        <f>IF(AND(C27="Skema 1",B27="ti"),Arbejdstidsoversigt!$E$45,"")</f>
        <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7"/>
        <v>0</v>
      </c>
      <c r="BC27" s="1">
        <f t="shared" si="21"/>
        <v>0</v>
      </c>
      <c r="BD27" s="1">
        <f t="shared" si="8"/>
        <v>0</v>
      </c>
      <c r="BE27" s="1">
        <f t="shared" si="9"/>
        <v>0</v>
      </c>
      <c r="BF27" s="1">
        <f t="shared" si="10"/>
        <v>0</v>
      </c>
      <c r="BG27" s="214" t="str">
        <f>IF(AND(C27="Skema 1",B27="ma"),Skemaoplysninger!$E$30,"")</f>
        <v/>
      </c>
      <c r="BH27" s="214" t="str">
        <f>IF(AND(C27="Skema 1",B27="ti"),Skemaoplysninger!$F$30,"")</f>
        <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1"/>
        <v>0</v>
      </c>
      <c r="CC27" s="1">
        <f t="shared" si="12"/>
        <v>0</v>
      </c>
      <c r="CD27" s="214" t="str">
        <f>IF(AND(C27="Skema 1",B27="ma"),Skemaoplysninger!$E$39,"")</f>
        <v/>
      </c>
      <c r="CE27" s="214" t="str">
        <f>IF(AND(C27="Skema 1",B27="ti"),Skemaoplysninger!$F$39,"")</f>
        <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f t="shared" si="25"/>
        <v>0</v>
      </c>
      <c r="DJ27">
        <f t="shared" si="26"/>
        <v>0</v>
      </c>
      <c r="DK27" t="str">
        <f t="shared" si="13"/>
        <v/>
      </c>
      <c r="DL27" t="str">
        <f t="shared" si="13"/>
        <v/>
      </c>
      <c r="DM27" t="str">
        <f t="shared" si="13"/>
        <v/>
      </c>
      <c r="DN27" t="str">
        <f t="shared" si="27"/>
        <v/>
      </c>
    </row>
    <row r="28" spans="1:118">
      <c r="A28" s="249">
        <f t="shared" si="14"/>
        <v>20</v>
      </c>
      <c r="B28" s="132" t="str">
        <f t="shared" si="0"/>
        <v>ma</v>
      </c>
      <c r="C28" s="133" t="s">
        <v>209</v>
      </c>
      <c r="D28" s="134">
        <f t="shared" si="1"/>
        <v>47.142857142857146</v>
      </c>
      <c r="E28" s="871"/>
      <c r="F28" s="872"/>
      <c r="G28" s="873"/>
      <c r="H28" s="313"/>
      <c r="I28" s="582"/>
      <c r="J28" s="440"/>
      <c r="K28" s="405"/>
      <c r="L28" s="405"/>
      <c r="M28" s="405"/>
      <c r="N28" s="334">
        <f t="shared" si="15"/>
        <v>0</v>
      </c>
      <c r="O28" s="334">
        <f t="shared" si="16"/>
        <v>0</v>
      </c>
      <c r="P28" s="334">
        <f>IF(Stamoplysninger!$H$29="JA",November!DG28,CX28)</f>
        <v>0</v>
      </c>
      <c r="Q28" s="334">
        <f t="shared" si="17"/>
        <v>0</v>
      </c>
      <c r="R28" s="335"/>
      <c r="S28" s="341"/>
      <c r="T28" s="342"/>
      <c r="U28" s="342"/>
      <c r="V28" s="462"/>
      <c r="W28" s="336"/>
      <c r="X28" s="469"/>
      <c r="Y28">
        <f t="shared" si="18"/>
        <v>0</v>
      </c>
      <c r="Z28" s="467">
        <f t="shared" si="19"/>
        <v>0</v>
      </c>
      <c r="AA28" s="1">
        <f t="shared" si="2"/>
        <v>0</v>
      </c>
      <c r="AB28" s="1">
        <f t="shared" si="3"/>
        <v>0</v>
      </c>
      <c r="AC28" s="1">
        <f t="shared" si="4"/>
        <v>0</v>
      </c>
      <c r="AD28" s="1">
        <f t="shared" si="5"/>
        <v>0</v>
      </c>
      <c r="AE28" s="1">
        <f t="shared" si="6"/>
        <v>0</v>
      </c>
      <c r="AF28" s="1">
        <f>IF(C28="Orlov",7.4*Stamoplysninger!$E$15,0)</f>
        <v>0</v>
      </c>
      <c r="AG28">
        <f>IF(AND(C28="Skema 1",B28="ma"),Arbejdstidsoversigt!$E$44,"")</f>
        <v>0</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7"/>
        <v>0</v>
      </c>
      <c r="BC28" s="1">
        <f t="shared" si="21"/>
        <v>0</v>
      </c>
      <c r="BD28" s="1">
        <f t="shared" si="8"/>
        <v>0</v>
      </c>
      <c r="BE28" s="1">
        <f t="shared" si="9"/>
        <v>0</v>
      </c>
      <c r="BF28" s="1">
        <f t="shared" si="10"/>
        <v>0</v>
      </c>
      <c r="BG28" s="214">
        <f>IF(AND(C28="Skema 1",B28="ma"),Skemaoplysninger!$E$30,"")</f>
        <v>0</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1"/>
        <v>0</v>
      </c>
      <c r="CC28" s="1">
        <f t="shared" si="12"/>
        <v>0</v>
      </c>
      <c r="CD28" s="214">
        <f>IF(AND(C28="Skema 1",B28="ma"),Skemaoplysninger!$E$39,"")</f>
        <v>0</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3"/>
        <v/>
      </c>
      <c r="DL28" t="str">
        <f t="shared" si="13"/>
        <v/>
      </c>
      <c r="DM28" t="str">
        <f t="shared" si="13"/>
        <v/>
      </c>
      <c r="DN28" t="str">
        <f t="shared" si="27"/>
        <v/>
      </c>
    </row>
    <row r="29" spans="1:118">
      <c r="A29" s="249">
        <f t="shared" si="14"/>
        <v>21</v>
      </c>
      <c r="B29" s="132" t="str">
        <f t="shared" si="0"/>
        <v>ti</v>
      </c>
      <c r="C29" s="133" t="s">
        <v>209</v>
      </c>
      <c r="D29" s="134" t="str">
        <f t="shared" si="1"/>
        <v/>
      </c>
      <c r="E29" s="871"/>
      <c r="F29" s="872"/>
      <c r="G29" s="873"/>
      <c r="H29" s="313"/>
      <c r="I29" s="582"/>
      <c r="J29" s="440"/>
      <c r="K29" s="405"/>
      <c r="L29" s="405"/>
      <c r="M29" s="405"/>
      <c r="N29" s="334">
        <f t="shared" si="15"/>
        <v>0</v>
      </c>
      <c r="O29" s="334">
        <f t="shared" si="16"/>
        <v>0</v>
      </c>
      <c r="P29" s="334">
        <f>IF(Stamoplysninger!$H$29="JA",November!DG29,CX29)</f>
        <v>0</v>
      </c>
      <c r="Q29" s="334">
        <f t="shared" si="17"/>
        <v>0</v>
      </c>
      <c r="R29" s="335"/>
      <c r="S29" s="341"/>
      <c r="T29" s="342"/>
      <c r="U29" s="342"/>
      <c r="V29" s="462"/>
      <c r="W29" s="336"/>
      <c r="X29" s="469"/>
      <c r="Y29">
        <f t="shared" si="18"/>
        <v>0</v>
      </c>
      <c r="Z29" s="467">
        <f t="shared" si="19"/>
        <v>0</v>
      </c>
      <c r="AA29" s="1">
        <f t="shared" si="2"/>
        <v>0</v>
      </c>
      <c r="AB29" s="1">
        <f t="shared" si="3"/>
        <v>0</v>
      </c>
      <c r="AC29" s="1">
        <f t="shared" si="4"/>
        <v>0</v>
      </c>
      <c r="AD29" s="1">
        <f t="shared" si="5"/>
        <v>0</v>
      </c>
      <c r="AE29" s="1">
        <f t="shared" si="6"/>
        <v>0</v>
      </c>
      <c r="AF29" s="1">
        <f>IF(C29="Orlov",7.4*Stamoplysninger!$E$15,0)</f>
        <v>0</v>
      </c>
      <c r="AG29" t="str">
        <f>IF(AND(C29="Skema 1",B29="ma"),Arbejdstidsoversigt!$E$44,"")</f>
        <v/>
      </c>
      <c r="AH29">
        <f>IF(AND(C29="Skema 1",B29="ti"),Arbejdstidsoversigt!$E$45,"")</f>
        <v>0</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7"/>
        <v>0</v>
      </c>
      <c r="BC29" s="1">
        <f t="shared" si="21"/>
        <v>0</v>
      </c>
      <c r="BD29" s="1">
        <f t="shared" si="8"/>
        <v>0</v>
      </c>
      <c r="BE29" s="1">
        <f t="shared" si="9"/>
        <v>0</v>
      </c>
      <c r="BF29" s="1">
        <f t="shared" si="10"/>
        <v>0</v>
      </c>
      <c r="BG29" s="214" t="str">
        <f>IF(AND(C29="Skema 1",B29="ma"),Skemaoplysninger!$E$30,"")</f>
        <v/>
      </c>
      <c r="BH29" s="214">
        <f>IF(AND(C29="Skema 1",B29="ti"),Skemaoplysninger!$F$30,"")</f>
        <v>0</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1"/>
        <v>0</v>
      </c>
      <c r="CC29" s="1">
        <f t="shared" si="12"/>
        <v>0</v>
      </c>
      <c r="CD29" s="214" t="str">
        <f>IF(AND(C29="Skema 1",B29="ma"),Skemaoplysninger!$E$39,"")</f>
        <v/>
      </c>
      <c r="CE29" s="214">
        <f>IF(AND(C29="Skema 1",B29="ti"),Skemaoplysninger!$F$39,"")</f>
        <v>0</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3"/>
        <v/>
      </c>
      <c r="DL29" t="str">
        <f t="shared" si="13"/>
        <v/>
      </c>
      <c r="DM29" t="str">
        <f t="shared" si="13"/>
        <v/>
      </c>
      <c r="DN29" t="str">
        <f t="shared" si="27"/>
        <v/>
      </c>
    </row>
    <row r="30" spans="1:118">
      <c r="A30" s="249">
        <f t="shared" si="14"/>
        <v>22</v>
      </c>
      <c r="B30" s="132" t="str">
        <f t="shared" si="0"/>
        <v>on</v>
      </c>
      <c r="C30" s="133" t="s">
        <v>209</v>
      </c>
      <c r="D30" s="134" t="str">
        <f t="shared" si="1"/>
        <v/>
      </c>
      <c r="E30" s="871"/>
      <c r="F30" s="872"/>
      <c r="G30" s="873"/>
      <c r="H30" s="313"/>
      <c r="I30" s="582"/>
      <c r="J30" s="440"/>
      <c r="K30" s="405"/>
      <c r="L30" s="405"/>
      <c r="M30" s="405"/>
      <c r="N30" s="334">
        <f t="shared" si="15"/>
        <v>0</v>
      </c>
      <c r="O30" s="334">
        <f t="shared" si="16"/>
        <v>0</v>
      </c>
      <c r="P30" s="334">
        <f>IF(Stamoplysninger!$H$29="JA",November!DG30,CX30)</f>
        <v>0</v>
      </c>
      <c r="Q30" s="334">
        <f t="shared" si="17"/>
        <v>0</v>
      </c>
      <c r="R30" s="335"/>
      <c r="S30" s="341"/>
      <c r="T30" s="342"/>
      <c r="U30" s="342"/>
      <c r="V30" s="462"/>
      <c r="W30" s="336"/>
      <c r="X30" s="469"/>
      <c r="Y30">
        <f t="shared" si="18"/>
        <v>0</v>
      </c>
      <c r="Z30" s="467">
        <f t="shared" si="19"/>
        <v>0</v>
      </c>
      <c r="AA30" s="1">
        <f t="shared" si="2"/>
        <v>0</v>
      </c>
      <c r="AB30" s="1">
        <f t="shared" si="3"/>
        <v>0</v>
      </c>
      <c r="AC30" s="1">
        <f t="shared" si="4"/>
        <v>0</v>
      </c>
      <c r="AD30" s="1">
        <f t="shared" si="5"/>
        <v>0</v>
      </c>
      <c r="AE30" s="1">
        <f t="shared" si="6"/>
        <v>0</v>
      </c>
      <c r="AF30" s="1">
        <f>IF(C30="Orlov",7.4*Stamoplysninger!$E$15,0)</f>
        <v>0</v>
      </c>
      <c r="AG30" t="str">
        <f>IF(AND(C30="Skema 1",B30="ma"),Arbejdstidsoversigt!$E$44,"")</f>
        <v/>
      </c>
      <c r="AH30" t="str">
        <f>IF(AND(C30="Skema 1",B30="ti"),Arbejdstidsoversigt!$E$45,"")</f>
        <v/>
      </c>
      <c r="AI30">
        <f>IF(AND(C30="Skema 1",B30="on"),Arbejdstidsoversigt!$E$46,"")</f>
        <v>0</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7"/>
        <v>0</v>
      </c>
      <c r="BC30" s="1">
        <f t="shared" si="21"/>
        <v>0</v>
      </c>
      <c r="BD30" s="1">
        <f t="shared" si="8"/>
        <v>0</v>
      </c>
      <c r="BE30" s="1">
        <f t="shared" si="9"/>
        <v>0</v>
      </c>
      <c r="BF30" s="1">
        <f t="shared" si="10"/>
        <v>0</v>
      </c>
      <c r="BG30" s="214" t="str">
        <f>IF(AND(C30="Skema 1",B30="ma"),Skemaoplysninger!$E$30,"")</f>
        <v/>
      </c>
      <c r="BH30" s="214" t="str">
        <f>IF(AND(C30="Skema 1",B30="ti"),Skemaoplysninger!$F$30,"")</f>
        <v/>
      </c>
      <c r="BI30" s="214">
        <f>IF(AND(C30="Skema 1",B30="on"),Skemaoplysninger!$G$30,"")</f>
        <v>0</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1"/>
        <v>0</v>
      </c>
      <c r="CC30" s="1">
        <f t="shared" si="12"/>
        <v>0</v>
      </c>
      <c r="CD30" s="214" t="str">
        <f>IF(AND(C30="Skema 1",B30="ma"),Skemaoplysninger!$E$39,"")</f>
        <v/>
      </c>
      <c r="CE30" s="214" t="str">
        <f>IF(AND(C30="Skema 1",B30="ti"),Skemaoplysninger!$F$39,"")</f>
        <v/>
      </c>
      <c r="CF30" s="214">
        <f>IF(AND(C30="Skema 1",B30="on"),Skemaoplysninger!$G$39,"")</f>
        <v>0</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3"/>
        <v/>
      </c>
      <c r="DL30" t="str">
        <f t="shared" si="13"/>
        <v/>
      </c>
      <c r="DM30" t="str">
        <f t="shared" si="13"/>
        <v/>
      </c>
      <c r="DN30" t="str">
        <f t="shared" si="27"/>
        <v/>
      </c>
    </row>
    <row r="31" spans="1:118">
      <c r="A31" s="249">
        <f t="shared" si="14"/>
        <v>23</v>
      </c>
      <c r="B31" s="132" t="str">
        <f t="shared" si="0"/>
        <v>to</v>
      </c>
      <c r="C31" s="133" t="s">
        <v>209</v>
      </c>
      <c r="D31" s="134" t="str">
        <f t="shared" si="1"/>
        <v/>
      </c>
      <c r="E31" s="871"/>
      <c r="F31" s="872"/>
      <c r="G31" s="873"/>
      <c r="H31" s="313"/>
      <c r="I31" s="582"/>
      <c r="J31" s="440"/>
      <c r="K31" s="405"/>
      <c r="L31" s="405"/>
      <c r="M31" s="405"/>
      <c r="N31" s="334">
        <f t="shared" si="15"/>
        <v>0</v>
      </c>
      <c r="O31" s="334">
        <f t="shared" si="16"/>
        <v>0</v>
      </c>
      <c r="P31" s="334">
        <f>IF(Stamoplysninger!$H$29="JA",November!DG31,CX31)</f>
        <v>0</v>
      </c>
      <c r="Q31" s="334">
        <f t="shared" si="17"/>
        <v>0</v>
      </c>
      <c r="R31" s="335"/>
      <c r="S31" s="341"/>
      <c r="T31" s="342"/>
      <c r="U31" s="342"/>
      <c r="V31" s="462"/>
      <c r="W31" s="336"/>
      <c r="X31" s="469"/>
      <c r="Y31">
        <f t="shared" si="18"/>
        <v>0</v>
      </c>
      <c r="Z31" s="467">
        <f t="shared" si="19"/>
        <v>0</v>
      </c>
      <c r="AA31" s="1">
        <f t="shared" si="2"/>
        <v>0</v>
      </c>
      <c r="AB31" s="1">
        <f t="shared" si="3"/>
        <v>0</v>
      </c>
      <c r="AC31" s="1">
        <f t="shared" si="4"/>
        <v>0</v>
      </c>
      <c r="AD31" s="1">
        <f t="shared" si="5"/>
        <v>0</v>
      </c>
      <c r="AE31" s="1">
        <f t="shared" si="6"/>
        <v>0</v>
      </c>
      <c r="AF31" s="1">
        <f>IF(C31="Orlov",7.4*Stamoplysninger!$E$15,0)</f>
        <v>0</v>
      </c>
      <c r="AG31" t="str">
        <f>IF(AND(C31="Skema 1",B31="ma"),Arbejdstidsoversigt!$E$44,"")</f>
        <v/>
      </c>
      <c r="AH31" t="str">
        <f>IF(AND(C31="Skema 1",B31="ti"),Arbejdstidsoversigt!$E$45,"")</f>
        <v/>
      </c>
      <c r="AI31" t="str">
        <f>IF(AND(C31="Skema 1",B31="on"),Arbejdstidsoversigt!$E$46,"")</f>
        <v/>
      </c>
      <c r="AJ31">
        <f>IF(AND(C31="Skema 1",B31="to"),Arbejdstidsoversigt!$E$47,"")</f>
        <v>0</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7"/>
        <v>0</v>
      </c>
      <c r="BC31" s="1">
        <f t="shared" si="21"/>
        <v>0</v>
      </c>
      <c r="BD31" s="1">
        <f t="shared" si="8"/>
        <v>0</v>
      </c>
      <c r="BE31" s="1">
        <f t="shared" si="9"/>
        <v>0</v>
      </c>
      <c r="BF31" s="1">
        <f t="shared" si="10"/>
        <v>0</v>
      </c>
      <c r="BG31" s="214" t="str">
        <f>IF(AND(C31="Skema 1",B31="ma"),Skemaoplysninger!$E$30,"")</f>
        <v/>
      </c>
      <c r="BH31" s="214" t="str">
        <f>IF(AND(C31="Skema 1",B31="ti"),Skemaoplysninger!$F$30,"")</f>
        <v/>
      </c>
      <c r="BI31" s="214" t="str">
        <f>IF(AND(C31="Skema 1",B31="on"),Skemaoplysninger!$G$30,"")</f>
        <v/>
      </c>
      <c r="BJ31" s="214">
        <f>IF(AND(C31="Skema 1",B31="to"),Skemaoplysninger!$H$30,"")</f>
        <v>0</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1"/>
        <v>0</v>
      </c>
      <c r="CC31" s="1">
        <f t="shared" si="12"/>
        <v>0</v>
      </c>
      <c r="CD31" s="214" t="str">
        <f>IF(AND(C31="Skema 1",B31="ma"),Skemaoplysninger!$E$39,"")</f>
        <v/>
      </c>
      <c r="CE31" s="214" t="str">
        <f>IF(AND(C31="Skema 1",B31="ti"),Skemaoplysninger!$F$39,"")</f>
        <v/>
      </c>
      <c r="CF31" s="214" t="str">
        <f>IF(AND(C31="Skema 1",B31="on"),Skemaoplysninger!$G$39,"")</f>
        <v/>
      </c>
      <c r="CG31" s="214">
        <f>IF(AND(C31="Skema 1",B31="to"),Skemaoplysninger!$H$39,"")</f>
        <v>0</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3"/>
        <v/>
      </c>
      <c r="DL31" t="str">
        <f t="shared" si="13"/>
        <v/>
      </c>
      <c r="DM31" t="str">
        <f t="shared" si="13"/>
        <v/>
      </c>
      <c r="DN31" t="str">
        <f t="shared" si="27"/>
        <v/>
      </c>
    </row>
    <row r="32" spans="1:118">
      <c r="A32" s="249">
        <f t="shared" si="14"/>
        <v>24</v>
      </c>
      <c r="B32" s="132" t="str">
        <f t="shared" si="0"/>
        <v>fr</v>
      </c>
      <c r="C32" s="133" t="s">
        <v>209</v>
      </c>
      <c r="D32" s="134" t="str">
        <f t="shared" si="1"/>
        <v/>
      </c>
      <c r="E32" s="868"/>
      <c r="F32" s="869"/>
      <c r="G32" s="870"/>
      <c r="H32" s="313"/>
      <c r="I32" s="582"/>
      <c r="J32" s="440"/>
      <c r="K32" s="405"/>
      <c r="L32" s="405"/>
      <c r="M32" s="405"/>
      <c r="N32" s="334">
        <f t="shared" si="15"/>
        <v>0</v>
      </c>
      <c r="O32" s="334">
        <f t="shared" si="16"/>
        <v>0</v>
      </c>
      <c r="P32" s="334">
        <f>IF(Stamoplysninger!$H$29="JA",November!DG32,CX32)</f>
        <v>0</v>
      </c>
      <c r="Q32" s="334">
        <f t="shared" si="17"/>
        <v>0</v>
      </c>
      <c r="R32" s="335"/>
      <c r="S32" s="341"/>
      <c r="T32" s="342"/>
      <c r="U32" s="342"/>
      <c r="V32" s="462"/>
      <c r="W32" s="336"/>
      <c r="X32" s="469"/>
      <c r="Y32">
        <f t="shared" si="18"/>
        <v>0</v>
      </c>
      <c r="Z32" s="467">
        <f t="shared" si="19"/>
        <v>0</v>
      </c>
      <c r="AA32" s="1">
        <f t="shared" si="2"/>
        <v>0</v>
      </c>
      <c r="AB32" s="1">
        <f t="shared" si="3"/>
        <v>0</v>
      </c>
      <c r="AC32" s="1">
        <f t="shared" si="4"/>
        <v>0</v>
      </c>
      <c r="AD32" s="1">
        <f t="shared" si="5"/>
        <v>0</v>
      </c>
      <c r="AE32" s="1">
        <f t="shared" si="6"/>
        <v>0</v>
      </c>
      <c r="AF32" s="1">
        <f>IF(C32="Orlov",7.4*Stamoplysninger!$E$15,0)</f>
        <v>0</v>
      </c>
      <c r="AG32" t="str">
        <f>IF(AND(C32="Skema 1",B32="ma"),Arbejdstidsoversigt!$E$44,"")</f>
        <v/>
      </c>
      <c r="AH32" t="str">
        <f>IF(AND(C32="Skema 1",B32="ti"),Arbejdstidsoversigt!$E$45,"")</f>
        <v/>
      </c>
      <c r="AI32" t="str">
        <f>IF(AND(C32="Skema 1",B32="on"),Arbejdstidsoversigt!$E$46,"")</f>
        <v/>
      </c>
      <c r="AJ32" t="str">
        <f>IF(AND(C32="Skema 1",B32="to"),Arbejdstidsoversigt!$E$47,"")</f>
        <v/>
      </c>
      <c r="AK32">
        <f>IF(AND(C32="Skema 1",B32="fr"),Arbejdstidsoversigt!$E$48,"")</f>
        <v>0</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7"/>
        <v>0</v>
      </c>
      <c r="BC32" s="1">
        <f t="shared" si="21"/>
        <v>0</v>
      </c>
      <c r="BD32" s="1">
        <f t="shared" si="8"/>
        <v>0</v>
      </c>
      <c r="BE32" s="1">
        <f t="shared" si="9"/>
        <v>0</v>
      </c>
      <c r="BF32" s="1">
        <f t="shared" si="10"/>
        <v>0</v>
      </c>
      <c r="BG32" s="214" t="str">
        <f>IF(AND(C32="Skema 1",B32="ma"),Skemaoplysninger!$E$30,"")</f>
        <v/>
      </c>
      <c r="BH32" s="214" t="str">
        <f>IF(AND(C32="Skema 1",B32="ti"),Skemaoplysninger!$F$30,"")</f>
        <v/>
      </c>
      <c r="BI32" s="214" t="str">
        <f>IF(AND(C32="Skema 1",B32="on"),Skemaoplysninger!$G$30,"")</f>
        <v/>
      </c>
      <c r="BJ32" s="214" t="str">
        <f>IF(AND(C32="Skema 1",B32="to"),Skemaoplysninger!$H$30,"")</f>
        <v/>
      </c>
      <c r="BK32" s="214">
        <f>IF(AND(C32="Skema 1",B32="fr"),Skemaoplysninger!$I$30,"")</f>
        <v>0</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1"/>
        <v>0</v>
      </c>
      <c r="CC32" s="1">
        <f t="shared" si="12"/>
        <v>0</v>
      </c>
      <c r="CD32" s="214" t="str">
        <f>IF(AND(C32="Skema 1",B32="ma"),Skemaoplysninger!$E$39,"")</f>
        <v/>
      </c>
      <c r="CE32" s="214" t="str">
        <f>IF(AND(C32="Skema 1",B32="ti"),Skemaoplysninger!$F$39,"")</f>
        <v/>
      </c>
      <c r="CF32" s="214" t="str">
        <f>IF(AND(C32="Skema 1",B32="on"),Skemaoplysninger!$G$39,"")</f>
        <v/>
      </c>
      <c r="CG32" s="214" t="str">
        <f>IF(AND(C32="Skema 1",B32="to"),Skemaoplysninger!$H$39,"")</f>
        <v/>
      </c>
      <c r="CH32" s="214">
        <f>IF(AND(C32="Skema 1",B32="fr"),Skemaoplysninger!$I$39,"")</f>
        <v>0</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f t="shared" si="25"/>
        <v>0</v>
      </c>
      <c r="DJ32">
        <f t="shared" si="26"/>
        <v>0</v>
      </c>
      <c r="DK32" t="str">
        <f t="shared" si="13"/>
        <v/>
      </c>
      <c r="DL32" t="str">
        <f t="shared" si="13"/>
        <v/>
      </c>
      <c r="DM32" t="str">
        <f t="shared" si="13"/>
        <v/>
      </c>
      <c r="DN32" t="str">
        <f t="shared" si="27"/>
        <v/>
      </c>
    </row>
    <row r="33" spans="1:118">
      <c r="A33" s="249">
        <f t="shared" si="14"/>
        <v>25</v>
      </c>
      <c r="B33" s="132" t="str">
        <f t="shared" si="0"/>
        <v>lø</v>
      </c>
      <c r="C33" s="133" t="s">
        <v>121</v>
      </c>
      <c r="D33" s="134" t="str">
        <f t="shared" si="1"/>
        <v/>
      </c>
      <c r="E33" s="871"/>
      <c r="F33" s="872"/>
      <c r="G33" s="873"/>
      <c r="H33" s="313"/>
      <c r="I33" s="440"/>
      <c r="J33" s="440"/>
      <c r="K33" s="405"/>
      <c r="L33" s="405"/>
      <c r="M33" s="405"/>
      <c r="N33" s="334">
        <f t="shared" si="15"/>
        <v>0</v>
      </c>
      <c r="O33" s="334">
        <f t="shared" si="16"/>
        <v>0</v>
      </c>
      <c r="P33" s="334">
        <f>IF(Stamoplysninger!$H$29="JA",November!DG33,CX33)</f>
        <v>0</v>
      </c>
      <c r="Q33" s="334">
        <f t="shared" si="17"/>
        <v>0</v>
      </c>
      <c r="R33" s="335"/>
      <c r="S33" s="341"/>
      <c r="T33" s="342"/>
      <c r="U33" s="342"/>
      <c r="V33" s="462"/>
      <c r="W33" s="336"/>
      <c r="X33" s="469"/>
      <c r="Y33">
        <f t="shared" si="18"/>
        <v>0</v>
      </c>
      <c r="Z33" s="467">
        <f t="shared" si="19"/>
        <v>0</v>
      </c>
      <c r="AA33" s="1">
        <f t="shared" si="2"/>
        <v>0</v>
      </c>
      <c r="AB33" s="1">
        <f t="shared" si="3"/>
        <v>0</v>
      </c>
      <c r="AC33" s="1">
        <f t="shared" si="4"/>
        <v>0</v>
      </c>
      <c r="AD33" s="1">
        <f t="shared" si="5"/>
        <v>0</v>
      </c>
      <c r="AE33" s="1">
        <f t="shared" si="6"/>
        <v>0</v>
      </c>
      <c r="AF33" s="1">
        <f>IF(C33="Orlov",7.4*Stamoplysninger!$E$15,0)</f>
        <v>0</v>
      </c>
      <c r="AG33" t="str">
        <f>IF(AND(C33="Skema 1",B33="ma"),Arbejdstidsoversigt!$E$44,"")</f>
        <v/>
      </c>
      <c r="AH33" t="str">
        <f>IF(AND(C33="Skema 1",B33="ti"),Arbejdstidsoversigt!$E$45,"")</f>
        <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7"/>
        <v>0</v>
      </c>
      <c r="BC33" s="1">
        <f t="shared" si="21"/>
        <v>0</v>
      </c>
      <c r="BD33" s="1">
        <f t="shared" si="8"/>
        <v>0</v>
      </c>
      <c r="BE33" s="1">
        <f t="shared" si="9"/>
        <v>0</v>
      </c>
      <c r="BF33" s="1">
        <f t="shared" si="10"/>
        <v>0</v>
      </c>
      <c r="BG33" s="214" t="str">
        <f>IF(AND(C33="Skema 1",B33="ma"),Skemaoplysninger!$E$30,"")</f>
        <v/>
      </c>
      <c r="BH33" s="214" t="str">
        <f>IF(AND(C33="Skema 1",B33="ti"),Skemaoplysninger!$F$30,"")</f>
        <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1"/>
        <v>0</v>
      </c>
      <c r="CC33" s="1">
        <f t="shared" si="12"/>
        <v>0</v>
      </c>
      <c r="CD33" s="214" t="str">
        <f>IF(AND(C33="Skema 1",B33="ma"),Skemaoplysninger!$E$39,"")</f>
        <v/>
      </c>
      <c r="CE33" s="214" t="str">
        <f>IF(AND(C33="Skema 1",B33="ti"),Skemaoplysninger!$F$39,"")</f>
        <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3"/>
        <v/>
      </c>
      <c r="DL33" t="str">
        <f t="shared" si="13"/>
        <v/>
      </c>
      <c r="DM33" t="str">
        <f t="shared" si="13"/>
        <v/>
      </c>
      <c r="DN33" t="str">
        <f t="shared" si="27"/>
        <v/>
      </c>
    </row>
    <row r="34" spans="1:118">
      <c r="A34" s="249">
        <f t="shared" si="14"/>
        <v>26</v>
      </c>
      <c r="B34" s="132" t="str">
        <f t="shared" si="0"/>
        <v>sø</v>
      </c>
      <c r="C34" s="133" t="s">
        <v>121</v>
      </c>
      <c r="D34" s="134" t="str">
        <f t="shared" si="1"/>
        <v/>
      </c>
      <c r="E34" s="871"/>
      <c r="F34" s="872"/>
      <c r="G34" s="873"/>
      <c r="H34" s="313"/>
      <c r="I34" s="440"/>
      <c r="J34" s="440"/>
      <c r="K34" s="405"/>
      <c r="L34" s="405"/>
      <c r="M34" s="405"/>
      <c r="N34" s="334">
        <f t="shared" si="15"/>
        <v>0</v>
      </c>
      <c r="O34" s="334">
        <f t="shared" si="16"/>
        <v>0</v>
      </c>
      <c r="P34" s="334">
        <f>IF(Stamoplysninger!$H$29="JA",November!DG34,CX34)</f>
        <v>0</v>
      </c>
      <c r="Q34" s="334">
        <f t="shared" si="17"/>
        <v>0</v>
      </c>
      <c r="R34" s="335"/>
      <c r="S34" s="341"/>
      <c r="T34" s="342"/>
      <c r="U34" s="342"/>
      <c r="V34" s="462"/>
      <c r="W34" s="336"/>
      <c r="X34" s="469"/>
      <c r="Y34">
        <f t="shared" si="18"/>
        <v>0</v>
      </c>
      <c r="Z34" s="467">
        <f t="shared" si="19"/>
        <v>0</v>
      </c>
      <c r="AA34" s="1">
        <f t="shared" si="2"/>
        <v>0</v>
      </c>
      <c r="AB34" s="1">
        <f t="shared" si="3"/>
        <v>0</v>
      </c>
      <c r="AC34" s="1">
        <f t="shared" si="4"/>
        <v>0</v>
      </c>
      <c r="AD34" s="1">
        <f t="shared" si="5"/>
        <v>0</v>
      </c>
      <c r="AE34" s="1">
        <f t="shared" si="6"/>
        <v>0</v>
      </c>
      <c r="AF34" s="1">
        <f>IF(C34="Orlov",7.4*Stamoplysninger!$E$15,0)</f>
        <v>0</v>
      </c>
      <c r="AG34" t="str">
        <f>IF(AND(C34="Skema 1",B34="ma"),Arbejdstidsoversigt!$E$44,"")</f>
        <v/>
      </c>
      <c r="AH34" t="str">
        <f>IF(AND(C34="Skema 1",B34="ti"),Arbejdstidsoversigt!$E$45,"")</f>
        <v/>
      </c>
      <c r="AI34" t="str">
        <f>IF(AND(C34="Skema 1",B34="on"),Arbejdstidsoversigt!$E$46,"")</f>
        <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7"/>
        <v>0</v>
      </c>
      <c r="BC34" s="1">
        <f t="shared" si="21"/>
        <v>0</v>
      </c>
      <c r="BD34" s="1">
        <f t="shared" si="8"/>
        <v>0</v>
      </c>
      <c r="BE34" s="1">
        <f t="shared" si="9"/>
        <v>0</v>
      </c>
      <c r="BF34" s="1">
        <f t="shared" si="10"/>
        <v>0</v>
      </c>
      <c r="BG34" s="214" t="str">
        <f>IF(AND(C34="Skema 1",B34="ma"),Skemaoplysninger!$E$30,"")</f>
        <v/>
      </c>
      <c r="BH34" s="214" t="str">
        <f>IF(AND(C34="Skema 1",B34="ti"),Skemaoplysninger!$F$30,"")</f>
        <v/>
      </c>
      <c r="BI34" s="214" t="str">
        <f>IF(AND(C34="Skema 1",B34="on"),Skemaoplysninger!$G$30,"")</f>
        <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1"/>
        <v>0</v>
      </c>
      <c r="CC34" s="1">
        <f t="shared" si="12"/>
        <v>0</v>
      </c>
      <c r="CD34" s="214" t="str">
        <f>IF(AND(C34="Skema 1",B34="ma"),Skemaoplysninger!$E$39,"")</f>
        <v/>
      </c>
      <c r="CE34" s="214" t="str">
        <f>IF(AND(C34="Skema 1",B34="ti"),Skemaoplysninger!$F$39,"")</f>
        <v/>
      </c>
      <c r="CF34" s="214" t="str">
        <f>IF(AND(C34="Skema 1",B34="on"),Skemaoplysninger!$G$39,"")</f>
        <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3"/>
        <v/>
      </c>
      <c r="DL34" t="str">
        <f t="shared" si="13"/>
        <v/>
      </c>
      <c r="DM34" t="str">
        <f t="shared" si="13"/>
        <v/>
      </c>
      <c r="DN34" t="str">
        <f t="shared" si="27"/>
        <v/>
      </c>
    </row>
    <row r="35" spans="1:118">
      <c r="A35" s="249">
        <f t="shared" si="14"/>
        <v>27</v>
      </c>
      <c r="B35" s="132" t="str">
        <f t="shared" si="0"/>
        <v>ma</v>
      </c>
      <c r="C35" s="133" t="s">
        <v>209</v>
      </c>
      <c r="D35" s="134">
        <f t="shared" si="1"/>
        <v>48.142857142857146</v>
      </c>
      <c r="E35" s="871"/>
      <c r="F35" s="872"/>
      <c r="G35" s="873"/>
      <c r="H35" s="313"/>
      <c r="I35" s="582"/>
      <c r="J35" s="440"/>
      <c r="K35" s="405"/>
      <c r="L35" s="405"/>
      <c r="M35" s="405"/>
      <c r="N35" s="334">
        <f t="shared" si="15"/>
        <v>0</v>
      </c>
      <c r="O35" s="334">
        <f t="shared" si="16"/>
        <v>0</v>
      </c>
      <c r="P35" s="334">
        <f>IF(Stamoplysninger!$H$29="JA",November!DG35,CX35)</f>
        <v>0</v>
      </c>
      <c r="Q35" s="334">
        <f t="shared" si="17"/>
        <v>0</v>
      </c>
      <c r="R35" s="335"/>
      <c r="S35" s="341"/>
      <c r="T35" s="342"/>
      <c r="U35" s="342"/>
      <c r="V35" s="462"/>
      <c r="W35" s="336"/>
      <c r="X35" s="469"/>
      <c r="Y35">
        <f t="shared" si="18"/>
        <v>0</v>
      </c>
      <c r="Z35" s="467">
        <f t="shared" si="19"/>
        <v>0</v>
      </c>
      <c r="AA35" s="1">
        <f t="shared" si="2"/>
        <v>0</v>
      </c>
      <c r="AB35" s="1">
        <f t="shared" si="3"/>
        <v>0</v>
      </c>
      <c r="AC35" s="1">
        <f t="shared" si="4"/>
        <v>0</v>
      </c>
      <c r="AD35" s="1">
        <f t="shared" si="5"/>
        <v>0</v>
      </c>
      <c r="AE35" s="1">
        <f t="shared" si="6"/>
        <v>0</v>
      </c>
      <c r="AF35" s="1">
        <f>IF(C35="Orlov",7.4*Stamoplysninger!$E$15,0)</f>
        <v>0</v>
      </c>
      <c r="AG35">
        <f>IF(AND(C35="Skema 1",B35="ma"),Arbejdstidsoversigt!$E$44,"")</f>
        <v>0</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0</v>
      </c>
      <c r="BB35" s="233">
        <f t="shared" si="7"/>
        <v>0</v>
      </c>
      <c r="BC35" s="1">
        <f t="shared" si="21"/>
        <v>0</v>
      </c>
      <c r="BD35" s="1">
        <f t="shared" si="8"/>
        <v>0</v>
      </c>
      <c r="BE35" s="1">
        <f t="shared" si="9"/>
        <v>0</v>
      </c>
      <c r="BF35" s="1">
        <f t="shared" si="10"/>
        <v>0</v>
      </c>
      <c r="BG35" s="214">
        <f>IF(AND(C35="Skema 1",B35="ma"),Skemaoplysninger!$E$30,"")</f>
        <v>0</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1"/>
        <v>0</v>
      </c>
      <c r="CC35" s="1">
        <f t="shared" si="12"/>
        <v>0</v>
      </c>
      <c r="CD35" s="214">
        <f>IF(AND(C35="Skema 1",B35="ma"),Skemaoplysninger!$E$39,"")</f>
        <v>0</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3"/>
        <v/>
      </c>
      <c r="DL35" t="str">
        <f t="shared" si="13"/>
        <v/>
      </c>
      <c r="DM35" t="str">
        <f t="shared" si="13"/>
        <v/>
      </c>
      <c r="DN35" t="str">
        <f t="shared" si="27"/>
        <v/>
      </c>
    </row>
    <row r="36" spans="1:118" ht="16" customHeight="1">
      <c r="A36" s="249">
        <f t="shared" si="14"/>
        <v>28</v>
      </c>
      <c r="B36" s="132" t="str">
        <f t="shared" si="0"/>
        <v>ti</v>
      </c>
      <c r="C36" s="133" t="s">
        <v>209</v>
      </c>
      <c r="D36" s="134" t="str">
        <f t="shared" si="1"/>
        <v/>
      </c>
      <c r="E36" s="868"/>
      <c r="F36" s="869"/>
      <c r="G36" s="870"/>
      <c r="H36" s="313"/>
      <c r="I36" s="582"/>
      <c r="J36" s="440"/>
      <c r="K36" s="405"/>
      <c r="L36" s="405"/>
      <c r="M36" s="405"/>
      <c r="N36" s="334">
        <f t="shared" si="15"/>
        <v>0</v>
      </c>
      <c r="O36" s="334">
        <f t="shared" si="16"/>
        <v>0</v>
      </c>
      <c r="P36" s="334">
        <f>IF(Stamoplysninger!$H$29="JA",November!DG36,CX36)</f>
        <v>0</v>
      </c>
      <c r="Q36" s="334">
        <f t="shared" si="17"/>
        <v>0</v>
      </c>
      <c r="R36" s="335"/>
      <c r="S36" s="341"/>
      <c r="T36" s="342"/>
      <c r="U36" s="342"/>
      <c r="V36" s="462"/>
      <c r="W36" s="336"/>
      <c r="X36" s="469"/>
      <c r="Y36">
        <f t="shared" si="18"/>
        <v>0</v>
      </c>
      <c r="Z36" s="467">
        <f t="shared" si="19"/>
        <v>0</v>
      </c>
      <c r="AA36" s="1">
        <f t="shared" si="2"/>
        <v>0</v>
      </c>
      <c r="AB36" s="1">
        <f t="shared" si="3"/>
        <v>0</v>
      </c>
      <c r="AC36" s="1">
        <f t="shared" si="4"/>
        <v>0</v>
      </c>
      <c r="AD36" s="1">
        <f t="shared" si="5"/>
        <v>0</v>
      </c>
      <c r="AE36" s="1">
        <f t="shared" si="6"/>
        <v>0</v>
      </c>
      <c r="AF36" s="1">
        <f>IF(C36="Orlov",7.4*Stamoplysninger!$E$15,0)</f>
        <v>0</v>
      </c>
      <c r="AG36" t="str">
        <f>IF(AND(C36="Skema 1",B36="ma"),Arbejdstidsoversigt!$E$44,"")</f>
        <v/>
      </c>
      <c r="AH36">
        <f>IF(AND(C36="Skema 1",B36="ti"),Arbejdstidsoversigt!$E$45,"")</f>
        <v>0</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7"/>
        <v>0</v>
      </c>
      <c r="BC36" s="1">
        <f t="shared" si="21"/>
        <v>0</v>
      </c>
      <c r="BD36" s="1">
        <f t="shared" si="8"/>
        <v>0</v>
      </c>
      <c r="BE36" s="1">
        <f t="shared" si="9"/>
        <v>0</v>
      </c>
      <c r="BF36" s="1">
        <f t="shared" si="10"/>
        <v>0</v>
      </c>
      <c r="BG36" s="214" t="str">
        <f>IF(AND(C36="Skema 1",B36="ma"),Skemaoplysninger!$E$30,"")</f>
        <v/>
      </c>
      <c r="BH36" s="214">
        <f>IF(AND(C36="Skema 1",B36="ti"),Skemaoplysninger!$F$30,"")</f>
        <v>0</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1"/>
        <v>0</v>
      </c>
      <c r="CC36" s="1">
        <f t="shared" si="12"/>
        <v>0</v>
      </c>
      <c r="CD36" s="214" t="str">
        <f>IF(AND(C36="Skema 1",B36="ma"),Skemaoplysninger!$E$39,"")</f>
        <v/>
      </c>
      <c r="CE36" s="214">
        <f>IF(AND(C36="Skema 1",B36="ti"),Skemaoplysninger!$F$39,"")</f>
        <v>0</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3"/>
        <v/>
      </c>
      <c r="DL36" t="str">
        <f t="shared" si="13"/>
        <v/>
      </c>
      <c r="DM36" t="str">
        <f t="shared" si="13"/>
        <v/>
      </c>
      <c r="DN36" t="str">
        <f t="shared" si="27"/>
        <v/>
      </c>
    </row>
    <row r="37" spans="1:118" ht="16" customHeight="1">
      <c r="A37" s="249">
        <f>IF(ISNUMBER(A36),A36+1,1)</f>
        <v>29</v>
      </c>
      <c r="B37" s="132" t="str">
        <f t="shared" si="0"/>
        <v>on</v>
      </c>
      <c r="C37" s="133" t="s">
        <v>209</v>
      </c>
      <c r="D37" s="134" t="str">
        <f t="shared" si="1"/>
        <v/>
      </c>
      <c r="E37" s="868"/>
      <c r="F37" s="869"/>
      <c r="G37" s="870"/>
      <c r="H37" s="313"/>
      <c r="I37" s="582"/>
      <c r="J37" s="440"/>
      <c r="K37" s="405"/>
      <c r="L37" s="405"/>
      <c r="M37" s="405"/>
      <c r="N37" s="334">
        <f t="shared" si="15"/>
        <v>0</v>
      </c>
      <c r="O37" s="334">
        <f t="shared" si="16"/>
        <v>0</v>
      </c>
      <c r="P37" s="334">
        <f>IF(Stamoplysninger!$H$29="JA",November!DG37,CX37)</f>
        <v>0</v>
      </c>
      <c r="Q37" s="334">
        <f t="shared" si="17"/>
        <v>0</v>
      </c>
      <c r="R37" s="335"/>
      <c r="S37" s="341"/>
      <c r="T37" s="342"/>
      <c r="U37" s="342"/>
      <c r="V37" s="462"/>
      <c r="W37" s="336"/>
      <c r="X37" s="469"/>
      <c r="Y37">
        <f t="shared" si="18"/>
        <v>0</v>
      </c>
      <c r="Z37" s="467">
        <f t="shared" si="19"/>
        <v>0</v>
      </c>
      <c r="AA37" s="1">
        <f t="shared" si="2"/>
        <v>0</v>
      </c>
      <c r="AB37" s="1">
        <f t="shared" si="3"/>
        <v>0</v>
      </c>
      <c r="AC37" s="1">
        <f t="shared" si="4"/>
        <v>0</v>
      </c>
      <c r="AD37" s="1">
        <f t="shared" si="5"/>
        <v>0</v>
      </c>
      <c r="AE37" s="1">
        <f t="shared" si="6"/>
        <v>0</v>
      </c>
      <c r="AF37" s="1">
        <f>IF(C37="Orlov",7.4*Stamoplysninger!$E$15,0)</f>
        <v>0</v>
      </c>
      <c r="AG37" t="str">
        <f>IF(AND(C37="Skema 1",B37="ma"),Arbejdstidsoversigt!$E$44,"")</f>
        <v/>
      </c>
      <c r="AH37" t="str">
        <f>IF(AND(C37="Skema 1",B37="ti"),Arbejdstidsoversigt!$E$45,"")</f>
        <v/>
      </c>
      <c r="AI37">
        <f>IF(AND(C37="Skema 1",B37="on"),Arbejdstidsoversigt!$E$46,"")</f>
        <v>0</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0</v>
      </c>
      <c r="BB37" s="233">
        <f t="shared" si="7"/>
        <v>0</v>
      </c>
      <c r="BC37" s="1">
        <f t="shared" si="21"/>
        <v>0</v>
      </c>
      <c r="BD37" s="1">
        <f t="shared" si="8"/>
        <v>0</v>
      </c>
      <c r="BE37" s="1">
        <f t="shared" si="9"/>
        <v>0</v>
      </c>
      <c r="BF37" s="1">
        <f t="shared" si="10"/>
        <v>0</v>
      </c>
      <c r="BG37" s="214" t="str">
        <f>IF(AND(C37="Skema 1",B37="ma"),Skemaoplysninger!$E$30,"")</f>
        <v/>
      </c>
      <c r="BH37" s="214" t="str">
        <f>IF(AND(C37="Skema 1",B37="ti"),Skemaoplysninger!$F$30,"")</f>
        <v/>
      </c>
      <c r="BI37" s="214">
        <f>IF(AND(C37="Skema 1",B37="on"),Skemaoplysninger!$G$30,"")</f>
        <v>0</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1"/>
        <v>0</v>
      </c>
      <c r="CC37" s="1">
        <f t="shared" si="12"/>
        <v>0</v>
      </c>
      <c r="CD37" s="214" t="str">
        <f>IF(AND(C37="Skema 1",B37="ma"),Skemaoplysninger!$E$39,"")</f>
        <v/>
      </c>
      <c r="CE37" s="214" t="str">
        <f>IF(AND(C37="Skema 1",B37="ti"),Skemaoplysninger!$F$39,"")</f>
        <v/>
      </c>
      <c r="CF37" s="214">
        <f>IF(AND(C37="Skema 1",B37="on"),Skemaoplysninger!$G$39,"")</f>
        <v>0</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3"/>
        <v/>
      </c>
      <c r="DL37" t="str">
        <f t="shared" si="13"/>
        <v/>
      </c>
      <c r="DM37" t="str">
        <f t="shared" si="13"/>
        <v/>
      </c>
      <c r="DN37" t="str">
        <f t="shared" si="27"/>
        <v/>
      </c>
    </row>
    <row r="38" spans="1:118" ht="16" customHeight="1">
      <c r="A38" s="249">
        <f t="shared" si="14"/>
        <v>30</v>
      </c>
      <c r="B38" s="132" t="str">
        <f t="shared" si="0"/>
        <v>to</v>
      </c>
      <c r="C38" s="133" t="s">
        <v>209</v>
      </c>
      <c r="D38" s="134" t="str">
        <f t="shared" si="1"/>
        <v/>
      </c>
      <c r="E38" s="868"/>
      <c r="F38" s="869"/>
      <c r="G38" s="870"/>
      <c r="H38" s="313"/>
      <c r="I38" s="582"/>
      <c r="J38" s="440"/>
      <c r="K38" s="405"/>
      <c r="L38" s="405"/>
      <c r="M38" s="405"/>
      <c r="N38" s="334">
        <f t="shared" si="15"/>
        <v>0</v>
      </c>
      <c r="O38" s="334">
        <f t="shared" si="16"/>
        <v>0</v>
      </c>
      <c r="P38" s="334">
        <f>IF(Stamoplysninger!$H$29="JA",November!DG38,CX38)</f>
        <v>0</v>
      </c>
      <c r="Q38" s="334">
        <f t="shared" si="17"/>
        <v>0</v>
      </c>
      <c r="R38" s="335"/>
      <c r="S38" s="341"/>
      <c r="T38" s="342"/>
      <c r="U38" s="342"/>
      <c r="V38" s="462"/>
      <c r="W38" s="336"/>
      <c r="X38" s="469"/>
      <c r="Y38">
        <f t="shared" si="18"/>
        <v>0</v>
      </c>
      <c r="Z38" s="467">
        <f t="shared" si="19"/>
        <v>0</v>
      </c>
      <c r="AA38" s="1">
        <f t="shared" si="2"/>
        <v>0</v>
      </c>
      <c r="AB38" s="1">
        <f t="shared" si="3"/>
        <v>0</v>
      </c>
      <c r="AC38" s="1">
        <f t="shared" si="4"/>
        <v>0</v>
      </c>
      <c r="AD38" s="1">
        <f t="shared" si="5"/>
        <v>0</v>
      </c>
      <c r="AE38" s="1">
        <f t="shared" si="6"/>
        <v>0</v>
      </c>
      <c r="AF38" s="1">
        <f>IF(C38="Orlov",7.4*Stamoplysninger!$E$15,0)</f>
        <v>0</v>
      </c>
      <c r="AG38" t="str">
        <f>IF(AND(C38="Skema 1",B38="ma"),Arbejdstidsoversigt!$E$44,"")</f>
        <v/>
      </c>
      <c r="AH38" t="str">
        <f>IF(AND(C38="Skema 1",B38="ti"),Arbejdstidsoversigt!$E$45,"")</f>
        <v/>
      </c>
      <c r="AI38" t="str">
        <f>IF(AND(C38="Skema 1",B38="on"),Arbejdstidsoversigt!$E$46,"")</f>
        <v/>
      </c>
      <c r="AJ38">
        <f>IF(AND(C38="Skema 1",B38="to"),Arbejdstidsoversigt!$E$47,"")</f>
        <v>0</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0</v>
      </c>
      <c r="BB38" s="233">
        <f t="shared" si="7"/>
        <v>0</v>
      </c>
      <c r="BC38" s="1">
        <f t="shared" si="21"/>
        <v>0</v>
      </c>
      <c r="BD38" s="1">
        <f t="shared" si="8"/>
        <v>0</v>
      </c>
      <c r="BE38" s="1">
        <f t="shared" si="9"/>
        <v>0</v>
      </c>
      <c r="BF38" s="1">
        <f t="shared" si="10"/>
        <v>0</v>
      </c>
      <c r="BG38" s="214" t="str">
        <f>IF(AND(C38="Skema 1",B38="ma"),Skemaoplysninger!$E$30,"")</f>
        <v/>
      </c>
      <c r="BH38" s="214" t="str">
        <f>IF(AND(C38="Skema 1",B38="ti"),Skemaoplysninger!$F$30,"")</f>
        <v/>
      </c>
      <c r="BI38" s="214" t="str">
        <f>IF(AND(C38="Skema 1",B38="on"),Skemaoplysninger!$G$30,"")</f>
        <v/>
      </c>
      <c r="BJ38" s="214">
        <f>IF(AND(C38="Skema 1",B38="to"),Skemaoplysninger!$H$30,"")</f>
        <v>0</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3",B38="ti"),Arbejdstidsoversigt!#REF!,"")</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1"/>
        <v>0</v>
      </c>
      <c r="CC38" s="1">
        <f t="shared" si="12"/>
        <v>0</v>
      </c>
      <c r="CD38" s="214" t="str">
        <f>IF(AND(C38="Skema 1",B38="ma"),Skemaoplysninger!$E$39,"")</f>
        <v/>
      </c>
      <c r="CE38" s="214" t="str">
        <f>IF(AND(C38="Skema 1",B38="ti"),Skemaoplysninger!$F$39,"")</f>
        <v/>
      </c>
      <c r="CF38" s="214" t="str">
        <f>IF(AND(C38="Skema 1",B38="on"),Skemaoplysninger!$G$39,"")</f>
        <v/>
      </c>
      <c r="CG38" s="214">
        <f>IF(AND(C38="Skema 1",B38="to"),Skemaoplysninger!$H$39,"")</f>
        <v>0</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3"/>
        <v/>
      </c>
      <c r="DL38" t="str">
        <f t="shared" si="13"/>
        <v/>
      </c>
      <c r="DM38" t="str">
        <f t="shared" si="13"/>
        <v/>
      </c>
      <c r="DN38" t="str">
        <f t="shared" si="27"/>
        <v/>
      </c>
    </row>
    <row r="39" spans="1:118" ht="17" thickBot="1">
      <c r="A39" s="889" t="s">
        <v>263</v>
      </c>
      <c r="B39" s="890"/>
      <c r="C39" s="890"/>
      <c r="D39" s="890"/>
      <c r="E39" s="890"/>
      <c r="F39" s="890"/>
      <c r="G39" s="890"/>
      <c r="H39" s="890"/>
      <c r="I39" s="891"/>
      <c r="J39" s="329"/>
      <c r="K39" s="406"/>
      <c r="L39" s="406"/>
      <c r="M39" s="406"/>
      <c r="N39" s="339">
        <f t="shared" ref="N39:Q39" si="28">SUM(N9:N38)</f>
        <v>0</v>
      </c>
      <c r="O39" s="339">
        <f t="shared" si="28"/>
        <v>0</v>
      </c>
      <c r="P39" s="339">
        <f t="shared" si="28"/>
        <v>0</v>
      </c>
      <c r="Q39" s="339">
        <f t="shared" si="28"/>
        <v>0</v>
      </c>
      <c r="R39" s="340">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0</v>
      </c>
      <c r="S39" s="459"/>
      <c r="T39" s="460"/>
      <c r="U39" s="460"/>
      <c r="V39" s="460">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60">
        <f t="shared" ref="W39" si="29">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61">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5">
        <f>SUM(Y9:Y38)</f>
        <v>0</v>
      </c>
      <c r="Z39" s="425">
        <f>Z9+Z10+Z11+Z12+Z13+Z14+Z15+Z16+Z17+Z18+Z19+Z20+Z21+Z22+Z23+Z24+Z25+Z26+Z27+Z28+Z29+Z30+Z31+Z32+Z33+Z34+Z35+Z36+Z37+Z38</f>
        <v>0</v>
      </c>
      <c r="AA39" s="239">
        <f t="shared" ref="AA39:AF39" si="30">SUM(AA9:AA38)</f>
        <v>0</v>
      </c>
      <c r="AB39" s="239">
        <f t="shared" si="30"/>
        <v>0</v>
      </c>
      <c r="AC39" s="239">
        <f t="shared" si="30"/>
        <v>0</v>
      </c>
      <c r="AD39" s="239">
        <f t="shared" si="30"/>
        <v>0</v>
      </c>
      <c r="AE39" s="239">
        <f t="shared" si="30"/>
        <v>0</v>
      </c>
      <c r="AF39" s="239">
        <f t="shared" si="30"/>
        <v>0</v>
      </c>
      <c r="BA39" s="1">
        <f>SUM(BA9:BA38)</f>
        <v>0</v>
      </c>
      <c r="BB39" s="116"/>
      <c r="BC39" s="239">
        <f>SUM(BC9:BC38)</f>
        <v>0</v>
      </c>
      <c r="BD39" s="239">
        <f>SUM(BD9:BD38)</f>
        <v>0</v>
      </c>
      <c r="BE39" s="239">
        <f>SUM(BE9:BE38)</f>
        <v>0</v>
      </c>
      <c r="BF39" s="239">
        <f>SUM(BF9:BF38)</f>
        <v>0</v>
      </c>
      <c r="CA39" s="239">
        <f>SUM(CA9:CA38)</f>
        <v>0</v>
      </c>
      <c r="CB39" s="239">
        <f>SUM(CB9:CB38)</f>
        <v>0</v>
      </c>
      <c r="CC39" s="239">
        <f>SUM(CC9:CC38)</f>
        <v>0</v>
      </c>
      <c r="CX39" s="254"/>
      <c r="CY39" s="254">
        <f t="shared" ref="CY39:DG39" si="31">SUM(CY9:CY38)</f>
        <v>0</v>
      </c>
      <c r="CZ39" s="254">
        <f t="shared" si="31"/>
        <v>0</v>
      </c>
      <c r="DA39" s="254">
        <f t="shared" si="31"/>
        <v>0</v>
      </c>
      <c r="DB39" s="254">
        <f t="shared" si="31"/>
        <v>0</v>
      </c>
      <c r="DC39" s="254">
        <f t="shared" si="31"/>
        <v>0</v>
      </c>
      <c r="DD39" s="254">
        <f t="shared" si="31"/>
        <v>0</v>
      </c>
      <c r="DE39" s="254">
        <f t="shared" si="31"/>
        <v>0</v>
      </c>
      <c r="DF39" s="254">
        <f t="shared" si="31"/>
        <v>0</v>
      </c>
      <c r="DG39" s="254">
        <f t="shared" si="31"/>
        <v>0</v>
      </c>
      <c r="DH39" t="str">
        <f t="shared" si="24"/>
        <v/>
      </c>
      <c r="DK39" t="str">
        <f t="shared" si="13"/>
        <v/>
      </c>
      <c r="DL39" t="str">
        <f t="shared" si="13"/>
        <v/>
      </c>
      <c r="DM39" t="str">
        <f t="shared" si="13"/>
        <v/>
      </c>
      <c r="DN39" t="str">
        <f t="shared" si="27"/>
        <v/>
      </c>
    </row>
    <row r="40" spans="1:118" ht="17" thickBot="1">
      <c r="A40" s="236"/>
      <c r="B40" s="236"/>
      <c r="C40" s="236"/>
      <c r="D40" s="236"/>
      <c r="E40" s="236"/>
      <c r="F40" s="236"/>
      <c r="G40" s="236"/>
      <c r="H40" s="236"/>
      <c r="I40" s="236"/>
      <c r="J40" s="236"/>
      <c r="K40" s="243"/>
      <c r="L40" s="243"/>
      <c r="M40" s="243"/>
      <c r="N40" s="243"/>
      <c r="O40" s="243"/>
      <c r="P40" s="243"/>
      <c r="Q40" s="243"/>
      <c r="R40" s="243"/>
      <c r="S40" s="243"/>
      <c r="T40" s="243"/>
      <c r="U40" s="243"/>
      <c r="V40" s="243"/>
      <c r="W40" s="243"/>
      <c r="X40" s="243"/>
      <c r="Y40" s="252"/>
      <c r="Z40" s="215"/>
      <c r="AA40" s="239"/>
      <c r="AB40" s="215"/>
      <c r="AC40" s="215"/>
      <c r="AD40" s="239"/>
      <c r="AE40" s="239"/>
      <c r="AF40" s="239"/>
      <c r="AG40" s="239"/>
      <c r="BC40" s="239"/>
      <c r="BD40" s="239"/>
      <c r="BE40" s="239"/>
      <c r="BF40" s="239"/>
      <c r="BG40" s="116"/>
      <c r="CB40" s="239"/>
      <c r="CC40" s="239"/>
      <c r="CD40" s="116"/>
      <c r="CX40" s="253"/>
      <c r="CZ40"/>
    </row>
    <row r="41" spans="1:118" ht="70" customHeight="1">
      <c r="A41" s="875" t="str">
        <f>"Arbejdstid for "&amp;A7&amp;" måned:"</f>
        <v>Arbejdstid for November måned:</v>
      </c>
      <c r="B41" s="876"/>
      <c r="C41" s="876"/>
      <c r="D41" s="876"/>
      <c r="E41" s="876"/>
      <c r="F41" s="876"/>
      <c r="G41" s="876"/>
      <c r="H41" s="347" t="s">
        <v>258</v>
      </c>
      <c r="I41" s="876" t="s">
        <v>224</v>
      </c>
      <c r="J41" s="877"/>
      <c r="K41" s="878"/>
      <c r="L41" s="267"/>
      <c r="M41" s="843" t="str">
        <f>"Ulempetimer og weekendtimer i "&amp;A5&amp;""</f>
        <v>Ulempetimer og weekendtimer i November måneds kalender for: . Måneden vedr. normperioden:  - .</v>
      </c>
      <c r="N41" s="844"/>
      <c r="O41" s="844"/>
      <c r="P41" s="844"/>
      <c r="Q41" s="844"/>
      <c r="R41" s="844"/>
      <c r="S41" s="844"/>
      <c r="T41" s="844"/>
      <c r="U41" s="844"/>
      <c r="V41" s="844"/>
      <c r="W41" s="844"/>
      <c r="X41" s="845"/>
      <c r="Y41" s="243"/>
      <c r="Z41" s="243"/>
      <c r="AD41" s="94"/>
      <c r="AE41" s="94"/>
      <c r="BM41" s="1"/>
      <c r="CJ41" s="1"/>
      <c r="CU41" s="253"/>
      <c r="CV41" s="253"/>
      <c r="CY41"/>
      <c r="CZ41"/>
    </row>
    <row r="42" spans="1:118">
      <c r="A42" s="879" t="s">
        <v>601</v>
      </c>
      <c r="B42" s="880"/>
      <c r="C42" s="880"/>
      <c r="D42" s="880"/>
      <c r="E42" s="880"/>
      <c r="F42" s="880"/>
      <c r="G42" s="880"/>
      <c r="H42" s="261">
        <f>D77</f>
        <v>22</v>
      </c>
      <c r="I42" s="892">
        <f>IF(Stamoplysninger!$E$12="Ja",1924/Arbejdstidsoversigt!$K$9*Stamoplysninger!$E$15*$H$42,H42*7.4*Stamoplysninger!$E$15)</f>
        <v>0</v>
      </c>
      <c r="J42" s="893"/>
      <c r="K42" s="894"/>
      <c r="L42" s="263"/>
      <c r="M42" s="846" t="s">
        <v>550</v>
      </c>
      <c r="N42" s="847"/>
      <c r="O42" s="847"/>
      <c r="P42" s="847"/>
      <c r="Q42" s="847"/>
      <c r="R42" s="847"/>
      <c r="S42" s="847"/>
      <c r="T42" s="847"/>
      <c r="U42" s="848"/>
      <c r="V42" s="990">
        <f>M72+S71+T71+M75+M79+M73+N72+N79</f>
        <v>0</v>
      </c>
      <c r="W42" s="990"/>
      <c r="X42" s="991"/>
      <c r="Y42" s="243"/>
      <c r="Z42" s="243"/>
      <c r="AD42" s="94"/>
      <c r="AE42" s="94"/>
      <c r="BM42" s="1"/>
      <c r="CJ42" s="1"/>
      <c r="CU42" s="253"/>
      <c r="CV42" s="253"/>
      <c r="CY42"/>
      <c r="CZ42"/>
    </row>
    <row r="43" spans="1:118">
      <c r="A43" s="879" t="str">
        <f>"Ferie "&amp;A7&amp;" måned"</f>
        <v>Ferie November måned</v>
      </c>
      <c r="B43" s="880"/>
      <c r="C43" s="880"/>
      <c r="D43" s="880"/>
      <c r="E43" s="880"/>
      <c r="F43" s="880"/>
      <c r="G43" s="880"/>
      <c r="H43" s="262" t="str">
        <f>IF(D72&gt;0,$D$72,"0")</f>
        <v>0</v>
      </c>
      <c r="I43" s="882">
        <f>H43*7.4*Stamoplysninger!$E$15</f>
        <v>0</v>
      </c>
      <c r="J43" s="1025"/>
      <c r="K43" s="1026"/>
      <c r="L43" s="263"/>
      <c r="M43" s="996" t="s">
        <v>262</v>
      </c>
      <c r="N43" s="997"/>
      <c r="O43" s="997"/>
      <c r="P43" s="997"/>
      <c r="Q43" s="997"/>
      <c r="R43" s="997"/>
      <c r="S43" s="997"/>
      <c r="T43" s="997"/>
      <c r="U43" s="997"/>
      <c r="V43" s="992">
        <f>M71+S70+T70+M74+M78+M70+N70+N78</f>
        <v>0</v>
      </c>
      <c r="W43" s="992"/>
      <c r="X43" s="993"/>
      <c r="Y43" s="243"/>
      <c r="Z43" s="243"/>
      <c r="AD43" s="94"/>
      <c r="AE43" s="94"/>
      <c r="BM43" s="1"/>
      <c r="CJ43" s="1"/>
      <c r="CU43" s="253"/>
      <c r="CV43" s="253"/>
      <c r="CY43"/>
      <c r="CZ43"/>
    </row>
    <row r="44" spans="1:118">
      <c r="A44" s="879" t="str">
        <f>"Søgnehelligdage i "&amp;A7&amp;" måned"</f>
        <v>Søgnehelligdage i November måned</v>
      </c>
      <c r="B44" s="880"/>
      <c r="C44" s="880"/>
      <c r="D44" s="880"/>
      <c r="E44" s="880"/>
      <c r="F44" s="880"/>
      <c r="G44" s="880"/>
      <c r="H44" s="262">
        <f>IF(D71&gt;0,D71,0)</f>
        <v>0</v>
      </c>
      <c r="I44" s="881">
        <f>H44*7.4*Stamoplysninger!$E$15</f>
        <v>0</v>
      </c>
      <c r="J44" s="882"/>
      <c r="K44" s="883"/>
      <c r="L44" s="419"/>
      <c r="M44" s="858" t="s">
        <v>301</v>
      </c>
      <c r="N44" s="859"/>
      <c r="O44" s="859"/>
      <c r="P44" s="859"/>
      <c r="Q44" s="859"/>
      <c r="R44" s="859"/>
      <c r="S44" s="859"/>
      <c r="T44" s="859"/>
      <c r="U44" s="859"/>
      <c r="V44" s="994">
        <f>Oktober!V53</f>
        <v>0</v>
      </c>
      <c r="W44" s="994"/>
      <c r="X44" s="995"/>
      <c r="Y44" s="243"/>
      <c r="Z44" s="243"/>
      <c r="AD44" s="94"/>
      <c r="AE44" s="94"/>
      <c r="BM44" s="1"/>
      <c r="CJ44" s="1"/>
      <c r="CU44" s="253"/>
      <c r="CV44" s="253"/>
      <c r="CY44"/>
      <c r="CZ44"/>
    </row>
    <row r="45" spans="1:118">
      <c r="A45" s="879" t="str">
        <f>"Nettoarbejdstid ialt i "&amp;A7&amp;" måned"</f>
        <v>Nettoarbejdstid ialt i November måned</v>
      </c>
      <c r="B45" s="880"/>
      <c r="C45" s="880"/>
      <c r="D45" s="880"/>
      <c r="E45" s="880"/>
      <c r="F45" s="880"/>
      <c r="G45" s="880"/>
      <c r="H45" s="265">
        <f>H42-H43-H44</f>
        <v>22</v>
      </c>
      <c r="I45" s="881">
        <f>I42-I43-I44</f>
        <v>0</v>
      </c>
      <c r="J45" s="882"/>
      <c r="K45" s="883"/>
      <c r="L45" s="419"/>
      <c r="M45" s="983" t="s">
        <v>308</v>
      </c>
      <c r="N45" s="984"/>
      <c r="O45" s="984"/>
      <c r="P45" s="984"/>
      <c r="Q45" s="984"/>
      <c r="R45" s="984"/>
      <c r="S45" s="984"/>
      <c r="T45" s="984"/>
      <c r="U45" s="984"/>
      <c r="V45" s="976">
        <f>V43+V44</f>
        <v>0</v>
      </c>
      <c r="W45" s="976"/>
      <c r="X45" s="977"/>
      <c r="Y45" s="243"/>
      <c r="Z45" s="243"/>
      <c r="AD45" s="94"/>
      <c r="AE45" s="94"/>
      <c r="BM45" s="1"/>
      <c r="CJ45" s="1"/>
      <c r="CU45" s="253"/>
      <c r="CV45" s="253"/>
      <c r="CY45"/>
      <c r="CZ45"/>
    </row>
    <row r="46" spans="1:118">
      <c r="A46" s="895" t="str">
        <f>"Planlagt arbejdstid efter ovennstående "&amp;A7&amp;" måned kalender"</f>
        <v>Planlagt arbejdstid efter ovennstående November måned kalender</v>
      </c>
      <c r="B46" s="896"/>
      <c r="C46" s="896"/>
      <c r="D46" s="896"/>
      <c r="E46" s="896"/>
      <c r="F46" s="896"/>
      <c r="G46" s="896"/>
      <c r="H46" s="521">
        <f>D63+D64+D65+D66+D67+D68+D69</f>
        <v>22</v>
      </c>
      <c r="I46" s="897">
        <f>N39+R39-J66</f>
        <v>0</v>
      </c>
      <c r="J46" s="834"/>
      <c r="K46" s="898"/>
      <c r="L46" s="419"/>
      <c r="M46" s="980" t="s">
        <v>299</v>
      </c>
      <c r="N46" s="981"/>
      <c r="O46" s="981"/>
      <c r="P46" s="981"/>
      <c r="Q46" s="981"/>
      <c r="R46" s="981"/>
      <c r="S46" s="981"/>
      <c r="T46" s="981"/>
      <c r="U46" s="981"/>
      <c r="V46" s="981"/>
      <c r="W46" s="981"/>
      <c r="X46" s="982"/>
      <c r="Y46" s="243"/>
      <c r="Z46" s="243"/>
      <c r="AD46" s="94"/>
      <c r="AE46" s="94"/>
      <c r="BM46" s="1"/>
      <c r="CJ46" s="1"/>
      <c r="CU46" s="253"/>
      <c r="CV46" s="253"/>
      <c r="CY46"/>
      <c r="CZ46"/>
    </row>
    <row r="47" spans="1:118">
      <c r="A47" s="902" t="s">
        <v>492</v>
      </c>
      <c r="B47" s="903"/>
      <c r="C47" s="903"/>
      <c r="D47" s="903"/>
      <c r="E47" s="903"/>
      <c r="F47" s="903"/>
      <c r="G47" s="903"/>
      <c r="H47" s="904"/>
      <c r="I47" s="899">
        <f>(M70+M72+M80+M82+M76+M77+M81)*-1</f>
        <v>0</v>
      </c>
      <c r="J47" s="900"/>
      <c r="K47" s="901"/>
      <c r="L47" s="420"/>
      <c r="M47" s="985" t="s">
        <v>506</v>
      </c>
      <c r="N47" s="986"/>
      <c r="O47" s="986"/>
      <c r="P47" s="986"/>
      <c r="Q47" s="986"/>
      <c r="R47" s="986"/>
      <c r="S47" s="986"/>
      <c r="T47" s="986"/>
      <c r="U47" s="986"/>
      <c r="V47" s="978" t="s">
        <v>224</v>
      </c>
      <c r="W47" s="978"/>
      <c r="X47" s="979"/>
      <c r="Y47" s="243"/>
      <c r="Z47" s="243"/>
      <c r="AD47" s="94"/>
      <c r="AE47" s="94"/>
      <c r="BM47" s="1"/>
      <c r="CJ47" s="1"/>
      <c r="CU47" s="253"/>
      <c r="CV47" s="253"/>
      <c r="CY47"/>
      <c r="CZ47"/>
    </row>
    <row r="48" spans="1:118">
      <c r="A48" s="837" t="str">
        <f>"Arbejde særligt planlagt for "&amp;A7&amp;" måned efter fanen skemaoplysninger"</f>
        <v>Arbejde særligt planlagt for November måned efter fanen skemaoplysninger</v>
      </c>
      <c r="B48" s="838"/>
      <c r="C48" s="838"/>
      <c r="D48" s="838"/>
      <c r="E48" s="838"/>
      <c r="F48" s="838"/>
      <c r="G48" s="838"/>
      <c r="H48" s="839"/>
      <c r="I48" s="834">
        <f>Skemaoplysninger!N91</f>
        <v>0</v>
      </c>
      <c r="J48" s="835"/>
      <c r="K48" s="836"/>
      <c r="L48" s="421"/>
      <c r="M48" s="987"/>
      <c r="N48" s="988"/>
      <c r="O48" s="988"/>
      <c r="P48" s="988"/>
      <c r="Q48" s="988"/>
      <c r="R48" s="988"/>
      <c r="S48" s="988"/>
      <c r="T48" s="988"/>
      <c r="U48" s="989"/>
      <c r="V48" s="826"/>
      <c r="W48" s="826"/>
      <c r="X48" s="827"/>
      <c r="Y48"/>
      <c r="Z48" s="243"/>
      <c r="AA48" s="243"/>
      <c r="AG48" s="94"/>
      <c r="AH48" s="94"/>
      <c r="BA48" s="243"/>
      <c r="BO48" s="1"/>
      <c r="CL48" s="1"/>
      <c r="CV48" s="253"/>
      <c r="CW48" s="253"/>
      <c r="CY48"/>
      <c r="CZ48"/>
    </row>
    <row r="49" spans="1:110">
      <c r="A49" s="884" t="s">
        <v>296</v>
      </c>
      <c r="B49" s="885"/>
      <c r="C49" s="885"/>
      <c r="D49" s="885"/>
      <c r="E49" s="885"/>
      <c r="F49" s="885"/>
      <c r="G49" s="885"/>
      <c r="H49" s="885"/>
      <c r="I49" s="1027">
        <f>V39+X39-N67-N65-P65</f>
        <v>0</v>
      </c>
      <c r="J49" s="899"/>
      <c r="K49" s="1028"/>
      <c r="L49" s="421"/>
      <c r="M49" s="974"/>
      <c r="N49" s="975"/>
      <c r="O49" s="975"/>
      <c r="P49" s="975"/>
      <c r="Q49" s="975"/>
      <c r="R49" s="975"/>
      <c r="S49" s="975"/>
      <c r="T49" s="975"/>
      <c r="U49" s="975"/>
      <c r="V49" s="808"/>
      <c r="W49" s="809"/>
      <c r="X49" s="810"/>
      <c r="Y49"/>
      <c r="Z49" s="243"/>
      <c r="AA49" s="243"/>
      <c r="AE49" s="94"/>
      <c r="AG49" s="94"/>
      <c r="BN49" s="1"/>
      <c r="CK49" s="1"/>
      <c r="CV49" s="253"/>
      <c r="CW49" s="253"/>
      <c r="CY49"/>
      <c r="CZ49"/>
    </row>
    <row r="50" spans="1:110" ht="17" thickBot="1">
      <c r="A50" s="266" t="str">
        <f>"Faktisk arbejdstid ialt i "&amp;A7&amp;" måned"</f>
        <v>Faktisk arbejdstid ialt i November måned</v>
      </c>
      <c r="B50" s="330"/>
      <c r="C50" s="331"/>
      <c r="D50" s="331"/>
      <c r="E50" s="331"/>
      <c r="F50" s="331"/>
      <c r="G50" s="331"/>
      <c r="H50" s="332"/>
      <c r="I50" s="840">
        <f>I46+I49+I48+I47</f>
        <v>0</v>
      </c>
      <c r="J50" s="841"/>
      <c r="K50" s="842"/>
      <c r="L50" s="421"/>
      <c r="M50" s="974"/>
      <c r="N50" s="975"/>
      <c r="O50" s="975"/>
      <c r="P50" s="975"/>
      <c r="Q50" s="975"/>
      <c r="R50" s="975"/>
      <c r="S50" s="975"/>
      <c r="T50" s="975"/>
      <c r="U50" s="975"/>
      <c r="V50" s="808"/>
      <c r="W50" s="809"/>
      <c r="X50" s="810"/>
      <c r="Y50" s="243"/>
      <c r="Z50" s="243"/>
      <c r="AA50" s="218"/>
      <c r="AB50" s="252"/>
      <c r="AC50" s="252"/>
      <c r="AD50" s="252"/>
      <c r="AE50" s="243"/>
      <c r="AF50" s="252"/>
      <c r="AH50" s="243"/>
      <c r="AI50" s="243"/>
      <c r="AM50" s="94"/>
      <c r="AN50" s="94"/>
      <c r="BU50" s="1"/>
      <c r="CR50" s="1"/>
      <c r="CY50"/>
      <c r="CZ50"/>
      <c r="DC50" s="253"/>
      <c r="DD50" s="253"/>
    </row>
    <row r="51" spans="1:110" ht="17" thickBot="1">
      <c r="A51" s="260"/>
      <c r="B51" s="260"/>
      <c r="C51" s="260"/>
      <c r="D51" s="260"/>
      <c r="E51" s="260"/>
      <c r="F51" s="260"/>
      <c r="G51" s="260"/>
      <c r="H51" s="260"/>
      <c r="I51" s="577"/>
      <c r="J51" s="577"/>
      <c r="K51" s="577"/>
      <c r="L51" s="551"/>
      <c r="M51" s="974"/>
      <c r="N51" s="975"/>
      <c r="O51" s="975"/>
      <c r="P51" s="975"/>
      <c r="Q51" s="975"/>
      <c r="R51" s="975"/>
      <c r="S51" s="975"/>
      <c r="T51" s="975"/>
      <c r="U51" s="975"/>
      <c r="V51" s="808"/>
      <c r="W51" s="809"/>
      <c r="X51" s="810"/>
      <c r="Y51" s="243"/>
      <c r="Z51" s="243"/>
      <c r="AA51" s="243"/>
      <c r="AB51" s="243"/>
      <c r="AC51" s="218"/>
      <c r="AD51" s="252"/>
      <c r="AE51" s="252"/>
      <c r="AF51" s="252"/>
      <c r="AG51" s="252"/>
      <c r="AH51" s="243"/>
      <c r="AJ51" s="243"/>
      <c r="AK51" s="243"/>
      <c r="AO51" s="94"/>
      <c r="AP51" s="94"/>
      <c r="BW51" s="1"/>
      <c r="CT51" s="1"/>
      <c r="CY51"/>
      <c r="CZ51"/>
      <c r="DE51" s="253"/>
      <c r="DF51" s="253"/>
    </row>
    <row r="52" spans="1:110" ht="35" thickBot="1">
      <c r="A52" s="875" t="s">
        <v>527</v>
      </c>
      <c r="B52" s="876"/>
      <c r="C52" s="876"/>
      <c r="D52" s="876"/>
      <c r="E52" s="876"/>
      <c r="F52" s="876"/>
      <c r="G52" s="876"/>
      <c r="H52" s="670" t="s">
        <v>614</v>
      </c>
      <c r="I52" s="876" t="s">
        <v>526</v>
      </c>
      <c r="J52" s="876"/>
      <c r="K52" s="878"/>
      <c r="L52" s="551"/>
      <c r="M52" s="1003" t="s">
        <v>300</v>
      </c>
      <c r="N52" s="1004"/>
      <c r="O52" s="1004"/>
      <c r="P52" s="1004"/>
      <c r="Q52" s="1004"/>
      <c r="R52" s="1004"/>
      <c r="S52" s="1004"/>
      <c r="T52" s="1004"/>
      <c r="U52" s="1005"/>
      <c r="V52" s="1006">
        <f>V45-SUM(V48:X51)</f>
        <v>0</v>
      </c>
      <c r="W52" s="1007"/>
      <c r="X52" s="1008"/>
      <c r="Y52" s="243"/>
      <c r="Z52" s="243"/>
      <c r="AA52" s="243"/>
      <c r="AB52" s="243"/>
      <c r="AC52" s="218"/>
      <c r="AD52" s="252"/>
      <c r="AE52" s="252"/>
      <c r="AF52" s="252"/>
      <c r="AG52" s="252"/>
      <c r="AH52" s="243"/>
      <c r="AJ52" s="243"/>
      <c r="AK52" s="243"/>
      <c r="AO52" s="94"/>
      <c r="AP52" s="94"/>
      <c r="BW52" s="1"/>
      <c r="CT52" s="1"/>
      <c r="CY52"/>
      <c r="CZ52"/>
      <c r="DE52" s="253"/>
      <c r="DF52" s="253"/>
    </row>
    <row r="53" spans="1:110" ht="16" customHeight="1">
      <c r="A53" s="905"/>
      <c r="B53" s="906"/>
      <c r="C53" s="906"/>
      <c r="D53" s="906"/>
      <c r="E53" s="906"/>
      <c r="F53" s="906"/>
      <c r="G53" s="906"/>
      <c r="H53" s="666">
        <f>Oktober!H62</f>
        <v>0</v>
      </c>
      <c r="I53" s="978">
        <f>Oktober!I62</f>
        <v>0</v>
      </c>
      <c r="J53" s="978"/>
      <c r="K53" s="979"/>
      <c r="L53" s="551"/>
      <c r="M53" s="243"/>
      <c r="N53" s="243"/>
      <c r="O53" s="243"/>
      <c r="P53" s="243"/>
      <c r="Q53" s="218"/>
      <c r="R53" s="252"/>
      <c r="S53" s="252"/>
      <c r="T53" s="252"/>
      <c r="U53" s="252"/>
      <c r="V53" s="243"/>
      <c r="X53" s="243"/>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1013" t="s">
        <v>530</v>
      </c>
      <c r="B54" s="1014"/>
      <c r="C54" s="1014"/>
      <c r="D54" s="1014"/>
      <c r="E54" s="1014"/>
      <c r="F54" s="1014"/>
      <c r="G54" s="1015"/>
      <c r="H54" s="664"/>
      <c r="I54" s="1029"/>
      <c r="J54" s="1030"/>
      <c r="K54" s="1031"/>
      <c r="L54" s="551"/>
      <c r="M54" s="243"/>
      <c r="N54" s="243"/>
      <c r="O54" s="243"/>
      <c r="P54" s="243"/>
      <c r="Q54" s="218"/>
      <c r="R54" s="252"/>
      <c r="S54" s="252"/>
      <c r="T54" s="252"/>
      <c r="U54" s="252"/>
      <c r="V54" s="243"/>
      <c r="X54" s="243"/>
      <c r="Y54" s="243"/>
      <c r="Z54" s="243"/>
      <c r="AA54" s="243"/>
      <c r="AB54" s="243"/>
      <c r="AC54" s="218"/>
      <c r="AD54" s="252"/>
      <c r="AE54" s="252"/>
      <c r="AF54" s="252"/>
      <c r="AG54" s="252"/>
      <c r="AH54" s="243"/>
      <c r="AJ54" s="243"/>
      <c r="AK54" s="243"/>
      <c r="AO54" s="94"/>
      <c r="AP54" s="94"/>
      <c r="BW54" s="1"/>
      <c r="CT54" s="1"/>
      <c r="CY54"/>
      <c r="CZ54"/>
      <c r="DE54" s="253"/>
      <c r="DF54" s="253"/>
    </row>
    <row r="55" spans="1:110" ht="37" customHeight="1">
      <c r="A55" s="802" t="s">
        <v>616</v>
      </c>
      <c r="B55" s="803"/>
      <c r="C55" s="803"/>
      <c r="D55" s="803"/>
      <c r="E55" s="803"/>
      <c r="F55" s="803"/>
      <c r="G55" s="803"/>
      <c r="H55" s="803"/>
      <c r="I55" s="803"/>
      <c r="J55" s="803"/>
      <c r="K55" s="804"/>
      <c r="L55" s="551"/>
      <c r="M55" s="578"/>
      <c r="N55" s="578"/>
      <c r="O55" s="578"/>
      <c r="P55" s="578"/>
      <c r="Q55" s="579"/>
      <c r="R55" s="580"/>
      <c r="S55" s="580"/>
      <c r="T55" s="580"/>
      <c r="U55" s="580"/>
      <c r="V55" s="578"/>
      <c r="W55" s="581"/>
      <c r="X55" s="578"/>
      <c r="Y55" s="243"/>
      <c r="Z55" s="243"/>
      <c r="AA55" s="243"/>
      <c r="AB55" s="243"/>
      <c r="AC55" s="218"/>
      <c r="AD55" s="252"/>
      <c r="AE55" s="252"/>
      <c r="AF55" s="252"/>
      <c r="AG55" s="252"/>
      <c r="AH55" s="243"/>
      <c r="AJ55" s="243"/>
      <c r="AK55" s="243"/>
      <c r="AO55" s="94"/>
      <c r="AP55" s="94"/>
      <c r="BW55" s="1"/>
      <c r="CT55" s="1"/>
      <c r="CY55"/>
      <c r="CZ55"/>
      <c r="DE55" s="253"/>
      <c r="DF55" s="253"/>
    </row>
    <row r="56" spans="1:110" ht="35" customHeight="1">
      <c r="A56" s="907" t="s">
        <v>615</v>
      </c>
      <c r="B56" s="908"/>
      <c r="C56" s="958" t="s">
        <v>566</v>
      </c>
      <c r="D56" s="959"/>
      <c r="E56" s="960" t="s">
        <v>567</v>
      </c>
      <c r="F56" s="803"/>
      <c r="G56" s="961"/>
      <c r="H56" s="970" t="s">
        <v>528</v>
      </c>
      <c r="I56" s="970"/>
      <c r="J56" s="970"/>
      <c r="K56" s="971"/>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0">
      <c r="A57" s="962"/>
      <c r="B57" s="963"/>
      <c r="C57" s="966"/>
      <c r="D57" s="965"/>
      <c r="E57" s="967"/>
      <c r="F57" s="968"/>
      <c r="G57" s="969"/>
      <c r="H57" s="665"/>
      <c r="I57" s="956"/>
      <c r="J57" s="956"/>
      <c r="K57" s="957"/>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0">
      <c r="A58" s="964"/>
      <c r="B58" s="965"/>
      <c r="C58" s="966"/>
      <c r="D58" s="965"/>
      <c r="E58" s="967"/>
      <c r="F58" s="968"/>
      <c r="G58" s="969"/>
      <c r="H58" s="665"/>
      <c r="I58" s="956"/>
      <c r="J58" s="956"/>
      <c r="K58" s="957"/>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0">
      <c r="A59" s="964"/>
      <c r="B59" s="965"/>
      <c r="C59" s="966"/>
      <c r="D59" s="965"/>
      <c r="E59" s="967"/>
      <c r="F59" s="968"/>
      <c r="G59" s="969"/>
      <c r="H59" s="665"/>
      <c r="I59" s="956"/>
      <c r="J59" s="956"/>
      <c r="K59" s="957"/>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0">
      <c r="A60" s="964"/>
      <c r="B60" s="965"/>
      <c r="C60" s="966"/>
      <c r="D60" s="965"/>
      <c r="E60" s="967"/>
      <c r="F60" s="968"/>
      <c r="G60" s="969"/>
      <c r="H60" s="665"/>
      <c r="I60" s="956"/>
      <c r="J60" s="956"/>
      <c r="K60" s="957"/>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0" ht="17" thickBot="1">
      <c r="A61" s="953" t="s">
        <v>529</v>
      </c>
      <c r="B61" s="954"/>
      <c r="C61" s="955"/>
      <c r="D61" s="955"/>
      <c r="E61" s="955"/>
      <c r="F61" s="955"/>
      <c r="G61" s="955"/>
      <c r="H61" s="667">
        <f>H54+H53-SUM(H57:H60)</f>
        <v>0</v>
      </c>
      <c r="I61" s="950">
        <f>I53+I54-SUM(I57:K60)</f>
        <v>0</v>
      </c>
      <c r="J61" s="951"/>
      <c r="K61" s="952"/>
      <c r="L61" s="551"/>
      <c r="M61" s="578"/>
      <c r="N61" s="578"/>
      <c r="O61" s="578"/>
      <c r="P61" s="578"/>
      <c r="Q61" s="579"/>
      <c r="R61" s="580"/>
      <c r="S61" s="580"/>
      <c r="T61" s="580"/>
      <c r="U61" s="580"/>
      <c r="V61" s="578"/>
      <c r="W61" s="581"/>
      <c r="X61" s="578"/>
      <c r="Y61" s="243"/>
      <c r="Z61" s="243"/>
      <c r="AA61" s="243"/>
      <c r="AB61" s="243"/>
      <c r="AC61" s="218"/>
      <c r="AD61" s="252"/>
      <c r="AE61" s="252"/>
      <c r="AF61" s="252"/>
      <c r="AG61" s="252"/>
      <c r="AH61" s="243"/>
      <c r="AJ61" s="243"/>
      <c r="AK61" s="243"/>
      <c r="AO61" s="94"/>
      <c r="AP61" s="94"/>
      <c r="BW61" s="1"/>
      <c r="CT61" s="1"/>
      <c r="CY61"/>
      <c r="CZ61"/>
      <c r="DE61" s="253"/>
      <c r="DF61" s="253"/>
    </row>
    <row r="62" spans="1:110" hidden="1">
      <c r="A62" s="545"/>
      <c r="B62" s="545"/>
      <c r="C62" s="545"/>
      <c r="D62" s="545"/>
      <c r="E62" s="545"/>
      <c r="F62" s="545"/>
      <c r="G62" s="545"/>
      <c r="H62" s="546"/>
      <c r="I62" s="547"/>
      <c r="J62" s="547"/>
      <c r="K62" s="548" t="s">
        <v>297</v>
      </c>
      <c r="L62" s="245"/>
      <c r="M62" s="243"/>
      <c r="N62" s="243"/>
      <c r="O62" s="218"/>
      <c r="P62" s="252"/>
      <c r="Q62" s="252"/>
      <c r="R62" s="252"/>
      <c r="S62" s="243"/>
      <c r="T62" s="252"/>
      <c r="V62" s="243"/>
      <c r="W62" s="243"/>
      <c r="Y62"/>
      <c r="Z62"/>
      <c r="AA62" s="94"/>
      <c r="AB62" s="94"/>
      <c r="BI62" s="1"/>
      <c r="CF62" s="1"/>
      <c r="CQ62" s="253"/>
      <c r="CR62" s="253"/>
      <c r="CY62"/>
      <c r="CZ62"/>
    </row>
    <row r="63" spans="1:110" hidden="1">
      <c r="A63" s="547" t="s">
        <v>209</v>
      </c>
      <c r="B63" s="547"/>
      <c r="C63" s="547"/>
      <c r="D63" s="547">
        <f>COUNTIF([0]!November,"Skema 1")</f>
        <v>22</v>
      </c>
      <c r="E63" s="549"/>
      <c r="F63" s="547" t="s">
        <v>189</v>
      </c>
      <c r="G63" s="547">
        <f>COUNTIFS($B$9:$B$38,"ma",[0]!November,"Skema 1")</f>
        <v>4</v>
      </c>
      <c r="H63" s="547"/>
      <c r="I63" s="547"/>
      <c r="J63" s="550"/>
      <c r="K63" s="551"/>
      <c r="L63" s="417"/>
      <c r="M63" s="243"/>
      <c r="N63" s="243"/>
      <c r="O63" s="218"/>
      <c r="P63" s="252"/>
      <c r="Q63" s="252"/>
      <c r="R63" s="252"/>
      <c r="S63" s="243"/>
      <c r="T63" s="252"/>
      <c r="V63" s="243"/>
      <c r="W63" s="243"/>
      <c r="Y63"/>
      <c r="Z63"/>
      <c r="AA63" s="94"/>
      <c r="AB63" s="94"/>
      <c r="BI63" s="1"/>
      <c r="CF63" s="1"/>
      <c r="CQ63" s="253"/>
      <c r="CR63" s="253"/>
      <c r="CY63"/>
      <c r="CZ63"/>
    </row>
    <row r="64" spans="1:110" hidden="1">
      <c r="A64" s="972" t="s">
        <v>210</v>
      </c>
      <c r="B64" s="972"/>
      <c r="C64" s="972"/>
      <c r="D64" s="547">
        <f>COUNTIF([0]!November,"Skema 2")</f>
        <v>0</v>
      </c>
      <c r="E64" s="549"/>
      <c r="F64" s="547" t="s">
        <v>190</v>
      </c>
      <c r="G64" s="547">
        <f>COUNTIFS($B$9:$B$38,"ti",[0]!November,"Skema 1")</f>
        <v>4</v>
      </c>
      <c r="H64" s="547"/>
      <c r="I64" s="547"/>
      <c r="J64" s="550"/>
      <c r="K64" s="551"/>
      <c r="L64" s="417"/>
      <c r="M64" s="243"/>
      <c r="N64" s="243"/>
      <c r="O64" s="218"/>
      <c r="P64" s="252"/>
      <c r="Q64" s="252"/>
      <c r="R64" s="252"/>
      <c r="S64" s="243"/>
      <c r="T64" s="252"/>
      <c r="V64" s="243"/>
      <c r="W64" s="243"/>
      <c r="Y64"/>
      <c r="Z64"/>
      <c r="AA64" s="94"/>
      <c r="AB64" s="94"/>
      <c r="BI64" s="1"/>
      <c r="CF64" s="1"/>
      <c r="CQ64" s="253"/>
      <c r="CR64" s="253"/>
      <c r="CY64"/>
      <c r="CZ64"/>
    </row>
    <row r="65" spans="1:109" hidden="1">
      <c r="A65" s="972" t="s">
        <v>211</v>
      </c>
      <c r="B65" s="972"/>
      <c r="C65" s="972"/>
      <c r="D65" s="547">
        <f>COUNTIF([0]!November,"Skema 3")</f>
        <v>0</v>
      </c>
      <c r="E65" s="549"/>
      <c r="F65" s="547" t="s">
        <v>191</v>
      </c>
      <c r="G65" s="547">
        <f>COUNTIFS($B$9:$B$38,"on",[0]!November,"Skema 1")</f>
        <v>5</v>
      </c>
      <c r="H65" s="547"/>
      <c r="I65" s="547"/>
      <c r="J65" s="550"/>
      <c r="K65" s="551"/>
      <c r="L65" s="44"/>
      <c r="M65" s="243"/>
      <c r="N65" s="550">
        <f>IF($C$9="Ikke relevant",V9,0)+IF($C$10="Ikke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relevant",V37,0)+IF($C$38="Ikke relevant",V38,0)</f>
        <v>0</v>
      </c>
      <c r="O65" s="550">
        <f t="shared" ref="O65" si="32">IF($C$9="Ikke relevant",W9,0)+IF($C$10="Ikke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relevant",W37,0)+IF($C$38="Ikke relevant",W38,0)</f>
        <v>0</v>
      </c>
      <c r="P65" s="550">
        <f>IF($C$9="Ikke relevant",X9,0)+IF($C$10="Ikke relevant",X10,0)+IF($C$11="Ikke relevant",X11,0)+IF($C$12="Ikke relevant",X12,0)+IF($C$13="Ikke relevant",X13,0)+IF($C$14="Ikke relevant",X14,0)+IF($C$15="Ikke relevant",X15,0)+IF($C$16="Ikke relevant",X16,0)+IF($C$17="Ikke relevant",X17,0)+IF($C$18="Ikke relevant",X18,0)+IF($C$19="Ikke relevant",X19,0)+IF($C$20="Ikke relevant",X20,0)+IF($C$21="Ikke relevant",X21,0)+IF($C$22="Ikke relevant",X22,0)+IF($C$23="Ikke relevant",X23,0)+IF($C$24="Ikke relevant",X24,0)+IF($C$25="Ikke relevant",X25,0)+IF($C$26="Ikke relevant",X26,0)+IF($C$27="Ikke relevant",X27,0)+IF($C$28="Ikke relevant",X28,0)+IF($C$29="Ikke relevant",X29,0)+IF($C$30="Ikke relevant",X30,0)+IF($C$31="Ikke relevant",X31,0)+IF($C$32="Ikke relevant",X32,0)+IF($C$33="Ikke relevant",X33,0)+IF($C$34="Ikke relevant",X34,0)+IF($C$35="Ikke relevant",X35,0)+IF($C$36="Ikke relevant",X36,0)+IF($C$37="Ikke relevant",X37,0)+IF($C$38="Ikke relevant",X38,0)</f>
        <v>0</v>
      </c>
      <c r="Q65" s="579" t="s">
        <v>622</v>
      </c>
      <c r="R65" s="252"/>
      <c r="S65" s="243"/>
      <c r="T65" s="252"/>
      <c r="V65" s="243"/>
      <c r="W65" s="243"/>
      <c r="Y65"/>
      <c r="Z65"/>
      <c r="AA65" s="94"/>
      <c r="AB65" s="94"/>
      <c r="BI65" s="1"/>
      <c r="CF65" s="1"/>
      <c r="CQ65" s="253"/>
      <c r="CR65" s="253"/>
      <c r="CY65"/>
      <c r="CZ65"/>
    </row>
    <row r="66" spans="1:109" hidden="1">
      <c r="A66" s="972" t="s">
        <v>212</v>
      </c>
      <c r="B66" s="972"/>
      <c r="C66" s="972"/>
      <c r="D66" s="547">
        <f>COUNTIF([0]!November,"Skema 4")</f>
        <v>0</v>
      </c>
      <c r="E66" s="549"/>
      <c r="F66" s="547" t="s">
        <v>193</v>
      </c>
      <c r="G66" s="547">
        <f>COUNTIFS($B$9:$B$38,"to",[0]!November,"Skema 1")</f>
        <v>5</v>
      </c>
      <c r="H66" s="547"/>
      <c r="I66" s="547" t="s">
        <v>496</v>
      </c>
      <c r="J66" s="550">
        <f>IF(C9="Ikke relevant",R9,0)+IF(C10="Ikke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f>
        <v>0</v>
      </c>
      <c r="K66" s="552"/>
      <c r="L66" s="44"/>
      <c r="M66" s="470" t="s">
        <v>327</v>
      </c>
      <c r="N66" s="470" t="s">
        <v>423</v>
      </c>
      <c r="O66" s="260"/>
      <c r="P66" s="260"/>
      <c r="Q66" s="260"/>
      <c r="R66" s="260"/>
      <c r="S66" s="260"/>
      <c r="T66" s="260"/>
      <c r="U66" s="260"/>
      <c r="V66" s="260"/>
      <c r="W66" s="260"/>
      <c r="X66" s="260"/>
      <c r="Y66" s="243"/>
      <c r="Z66" s="243"/>
      <c r="AA66" s="243"/>
      <c r="AB66" s="218"/>
      <c r="AC66" s="252"/>
      <c r="AD66" s="252"/>
      <c r="AE66" s="252"/>
      <c r="AF66" s="252"/>
      <c r="AG66" s="243"/>
      <c r="AI66" s="243"/>
      <c r="AJ66" s="243"/>
      <c r="AN66" s="94"/>
      <c r="AO66" s="94"/>
      <c r="BV66" s="1"/>
      <c r="CS66" s="1"/>
      <c r="CY66"/>
      <c r="CZ66"/>
      <c r="DD66" s="253"/>
      <c r="DE66" s="253"/>
    </row>
    <row r="67" spans="1:109" hidden="1">
      <c r="A67" s="547" t="s">
        <v>113</v>
      </c>
      <c r="B67" s="547"/>
      <c r="C67" s="547"/>
      <c r="D67" s="547">
        <f>COUNTIF([0]!November,"Fagdag")+COUNTIF([0]!November,"emnedag")</f>
        <v>0</v>
      </c>
      <c r="E67" s="549"/>
      <c r="F67" s="547" t="s">
        <v>192</v>
      </c>
      <c r="G67" s="547">
        <f>COUNTIFS($B$9:$B$38,"fr",[0]!November,"Skema 1")</f>
        <v>4</v>
      </c>
      <c r="H67" s="547"/>
      <c r="I67" s="552" t="s">
        <v>329</v>
      </c>
      <c r="J67" s="550"/>
      <c r="K67" s="552"/>
      <c r="L67" s="44"/>
      <c r="M67" s="463">
        <f>IF($I$9="X",$K$9,0)+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f>
        <v>0</v>
      </c>
      <c r="N67" s="463">
        <f>IF(AND($I$9="X",$S$9="x"),$V$9,0)+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f>
        <v>0</v>
      </c>
      <c r="O67" s="463"/>
      <c r="P67" s="354"/>
      <c r="Q67" s="465" t="s">
        <v>331</v>
      </c>
      <c r="R67" s="234"/>
      <c r="S67" s="234"/>
      <c r="T67" s="234" t="s">
        <v>332</v>
      </c>
      <c r="U67" s="234"/>
      <c r="V67" s="234"/>
      <c r="W67" s="122"/>
      <c r="X67" s="122"/>
      <c r="Y67" s="243"/>
      <c r="Z67" s="243"/>
      <c r="AA67" s="243"/>
      <c r="AB67" s="218"/>
      <c r="AC67" s="252"/>
      <c r="AD67" s="252"/>
      <c r="AE67" s="252"/>
      <c r="AF67" s="218"/>
      <c r="AG67" s="243"/>
      <c r="AI67" s="243"/>
      <c r="AJ67" s="243"/>
      <c r="AN67" s="94"/>
      <c r="AO67" s="94"/>
      <c r="BV67" s="1"/>
      <c r="CS67" s="1"/>
      <c r="CY67"/>
      <c r="CZ67"/>
      <c r="DD67" s="253"/>
      <c r="DE67" s="253"/>
    </row>
    <row r="68" spans="1:109" hidden="1">
      <c r="A68" s="553" t="s">
        <v>112</v>
      </c>
      <c r="B68" s="547"/>
      <c r="C68" s="547"/>
      <c r="D68" s="547">
        <f>COUNTIF([0]!November,"Lejrskole")+COUNTIF([0]!November,"Ekskursion")</f>
        <v>0</v>
      </c>
      <c r="E68" s="549"/>
      <c r="F68" s="547"/>
      <c r="G68" s="547"/>
      <c r="H68" s="547"/>
      <c r="I68" s="552" t="s">
        <v>343</v>
      </c>
      <c r="J68" s="550"/>
      <c r="K68" s="552"/>
      <c r="L68" s="44"/>
      <c r="M68" s="463">
        <f>IF(AND($I$9="X",$J$9="X"),($K$9*-1),0)+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f>
        <v>0</v>
      </c>
      <c r="N68" s="463">
        <f>IF(AND($I$9="X",$J$9="X"),$V$9*-1,0)+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f>
        <v>0</v>
      </c>
      <c r="O68" s="464">
        <v>0.5</v>
      </c>
      <c r="P68" s="354"/>
      <c r="Q68" s="465" t="s">
        <v>328</v>
      </c>
      <c r="R68" s="234"/>
      <c r="S68" s="234"/>
      <c r="T68" s="234"/>
      <c r="U68" s="234"/>
      <c r="V68" s="234"/>
      <c r="W68" s="122"/>
      <c r="X68" s="122"/>
      <c r="Y68" s="243"/>
      <c r="Z68" s="243"/>
      <c r="AA68" s="243"/>
      <c r="AB68" s="218"/>
      <c r="AC68" s="252"/>
      <c r="AD68" s="252"/>
      <c r="AE68" s="252"/>
      <c r="AF68" s="218"/>
      <c r="AG68" s="243"/>
      <c r="AI68" s="243"/>
      <c r="AJ68" s="243"/>
      <c r="AN68" s="94"/>
      <c r="AO68" s="94"/>
      <c r="BV68" s="1"/>
      <c r="CS68" s="1"/>
      <c r="CY68"/>
      <c r="CZ68"/>
      <c r="DD68" s="253"/>
      <c r="DE68" s="253"/>
    </row>
    <row r="69" spans="1:109" hidden="1">
      <c r="A69" s="547" t="s">
        <v>111</v>
      </c>
      <c r="B69" s="547"/>
      <c r="C69" s="547"/>
      <c r="D69" s="547">
        <f>COUNTIF([0]!November,"Pæd.dag")</f>
        <v>0</v>
      </c>
      <c r="E69" s="549"/>
      <c r="F69" s="547" t="s">
        <v>194</v>
      </c>
      <c r="G69" s="547">
        <f>COUNTIFS($B$9:$B$38,"ma",[0]!November,"Skema 2")</f>
        <v>0</v>
      </c>
      <c r="H69" s="547"/>
      <c r="I69" s="547" t="s">
        <v>342</v>
      </c>
      <c r="J69" s="550"/>
      <c r="K69" s="552"/>
      <c r="L69" s="44"/>
      <c r="M69" s="463">
        <f>SUM(M67:M68)</f>
        <v>0</v>
      </c>
      <c r="N69" s="463">
        <f>SUM(N67:N68)</f>
        <v>0</v>
      </c>
      <c r="O69" s="463">
        <f>(M69+N69)/2</f>
        <v>0</v>
      </c>
      <c r="P69" s="354">
        <f>SUM(M69:O69)</f>
        <v>0</v>
      </c>
      <c r="Q69" s="465">
        <f>(M69+N69)*25%</f>
        <v>0</v>
      </c>
      <c r="R69" s="234"/>
      <c r="S69" s="234"/>
      <c r="T69" s="234"/>
      <c r="U69" s="234"/>
      <c r="V69" s="234"/>
      <c r="W69" s="122"/>
      <c r="X69" s="122"/>
      <c r="Y69" s="243"/>
      <c r="Z69" s="243"/>
      <c r="AA69" s="243"/>
      <c r="AB69" s="218"/>
      <c r="AC69" s="252"/>
      <c r="AD69" s="252"/>
      <c r="AE69" s="252"/>
      <c r="AF69" s="218"/>
      <c r="AG69" s="243"/>
      <c r="AI69" s="243"/>
      <c r="AJ69" s="243"/>
      <c r="AN69" s="94"/>
      <c r="AO69" s="94"/>
      <c r="BV69" s="1"/>
      <c r="CS69" s="1"/>
      <c r="CY69"/>
      <c r="CZ69"/>
      <c r="DD69" s="253"/>
      <c r="DE69" s="253"/>
    </row>
    <row r="70" spans="1:109" hidden="1">
      <c r="A70" s="547" t="s">
        <v>121</v>
      </c>
      <c r="B70" s="547"/>
      <c r="C70" s="547"/>
      <c r="D70" s="547">
        <f>COUNTIF([0]!November,"Weekend")</f>
        <v>8</v>
      </c>
      <c r="E70" s="549"/>
      <c r="F70" s="547" t="s">
        <v>195</v>
      </c>
      <c r="G70" s="547">
        <f>COUNTIFS($B$9:$B$38,"ti",[0]!November,"Skema 2")</f>
        <v>0</v>
      </c>
      <c r="H70" s="547"/>
      <c r="I70" s="547" t="s">
        <v>482</v>
      </c>
      <c r="J70" s="550"/>
      <c r="K70" s="552"/>
      <c r="L70" s="44"/>
      <c r="M70" s="513">
        <f>IF(Stamoplysninger!$B$26="Weekendtimer og weekendtillæg afspadseres.",M67,0)</f>
        <v>0</v>
      </c>
      <c r="N70" s="513">
        <f>IF(Stamoplysninger!$B$26="Weekendtimer og weekendtillæg afspadseres.",N67,0)</f>
        <v>0</v>
      </c>
      <c r="O70" s="463"/>
      <c r="P70" s="354"/>
      <c r="Q70" s="465" t="s">
        <v>333</v>
      </c>
      <c r="R70" s="234"/>
      <c r="S70" s="234">
        <f>IF(Stamoplysninger!B22="Ulempetillæg afspadseres med 25%(Kræver en aftale imellem ledelsen og den ansatte)",Q69,0)</f>
        <v>0</v>
      </c>
      <c r="T70" s="234">
        <f>IF(Stamoplysninger!B22="Ulempetillæg afspadseres med 25%(Kræver en aftale imellem ledelsen og den ansatte)",(R39+X39)*0.25,0)</f>
        <v>0</v>
      </c>
      <c r="U70" s="234"/>
      <c r="V70" s="234"/>
      <c r="W70" s="122"/>
      <c r="X70" s="122"/>
      <c r="Y70"/>
      <c r="Z70"/>
      <c r="AM70" s="1"/>
      <c r="BJ70" s="1"/>
      <c r="BU70" s="253"/>
      <c r="BV70" s="253"/>
      <c r="CY70"/>
      <c r="CZ70"/>
    </row>
    <row r="71" spans="1:109" hidden="1">
      <c r="A71" s="547" t="s">
        <v>128</v>
      </c>
      <c r="B71" s="547"/>
      <c r="C71" s="547"/>
      <c r="D71" s="547">
        <f>COUNTIF([0]!November,"SH-dag")</f>
        <v>0</v>
      </c>
      <c r="E71" s="549"/>
      <c r="F71" s="547" t="s">
        <v>196</v>
      </c>
      <c r="G71" s="547">
        <f>COUNTIFS($B$9:$B$38,"on",[0]!November,"Skema 2")</f>
        <v>0</v>
      </c>
      <c r="H71" s="547"/>
      <c r="I71" s="554" t="s">
        <v>483</v>
      </c>
      <c r="J71" s="554"/>
      <c r="K71" s="554"/>
      <c r="L71" s="510"/>
      <c r="M71" s="513">
        <f>IF(Stamoplysninger!$B$26="Weekendtimer og weekendtillæg afspadseres.",O69,0)</f>
        <v>0</v>
      </c>
      <c r="N71" s="513">
        <f>IF(Stamoplysninger!$B$26="Weekendtimer og weekendtillæg afspadseres.",O69,0)</f>
        <v>0</v>
      </c>
      <c r="O71" s="463"/>
      <c r="P71" s="354"/>
      <c r="Q71" s="465" t="s">
        <v>330</v>
      </c>
      <c r="R71" s="234"/>
      <c r="S71" s="234">
        <f>IF(Stamoplysninger!B22="Ulempetillæg udbetales med 25% af nettotimelønnen.",Q69,0)</f>
        <v>0</v>
      </c>
      <c r="T71" s="234">
        <f>IF(Stamoplysninger!B22="Ulempetillæg udbetales med 25% af nettotimelønnen.",(R39+X39)*0.25,0)</f>
        <v>0</v>
      </c>
      <c r="U71" s="234"/>
      <c r="V71" s="234"/>
      <c r="W71" s="122"/>
      <c r="X71" s="122"/>
      <c r="Y71"/>
      <c r="Z71"/>
      <c r="AM71" s="1"/>
      <c r="BJ71" s="1"/>
      <c r="BU71" s="253"/>
      <c r="BV71" s="253"/>
      <c r="CY71"/>
      <c r="CZ71"/>
    </row>
    <row r="72" spans="1:109" hidden="1">
      <c r="A72" s="547" t="s">
        <v>110</v>
      </c>
      <c r="B72" s="547"/>
      <c r="C72" s="547"/>
      <c r="D72" s="547">
        <f>COUNTIF([0]!November,"Feriedag")</f>
        <v>0</v>
      </c>
      <c r="E72" s="549"/>
      <c r="F72" s="547" t="s">
        <v>197</v>
      </c>
      <c r="G72" s="547">
        <f>COUNTIFS($B$9:$B$38,"to",[0]!November,"Skema 2")</f>
        <v>0</v>
      </c>
      <c r="H72" s="547"/>
      <c r="I72" s="554" t="s">
        <v>484</v>
      </c>
      <c r="J72" s="554"/>
      <c r="K72" s="554"/>
      <c r="L72" s="510"/>
      <c r="M72" s="514">
        <f>IF(Stamoplysninger!$B$26="Weekendtimer og weekendtillæg udbetales.",M67,0)</f>
        <v>0</v>
      </c>
      <c r="N72" s="514">
        <f>IF(Stamoplysninger!$B$26="Weekendtimer og weekendtillæg udbetales.",N67,0)</f>
        <v>0</v>
      </c>
      <c r="O72" s="463"/>
      <c r="P72" s="354"/>
      <c r="Q72" s="465"/>
      <c r="R72" s="234"/>
      <c r="S72" s="234"/>
      <c r="T72" s="234"/>
      <c r="U72" s="234"/>
      <c r="V72" s="234"/>
      <c r="W72" s="122"/>
      <c r="X72" s="122"/>
      <c r="Y72"/>
      <c r="Z72"/>
      <c r="AM72" s="1"/>
      <c r="BJ72" s="1"/>
      <c r="BU72" s="253"/>
      <c r="BV72" s="253"/>
      <c r="CY72"/>
      <c r="CZ72"/>
    </row>
    <row r="73" spans="1:109" hidden="1">
      <c r="A73" s="547" t="s">
        <v>181</v>
      </c>
      <c r="B73" s="547"/>
      <c r="C73" s="547"/>
      <c r="D73" s="547">
        <f>COUNTIF([0]!November,"Nul-dag")</f>
        <v>0</v>
      </c>
      <c r="E73" s="549"/>
      <c r="F73" s="547" t="s">
        <v>198</v>
      </c>
      <c r="G73" s="547">
        <f>COUNTIFS($B$9:$B$38,"fr",[0]!November,"Skema 2")</f>
        <v>0</v>
      </c>
      <c r="H73" s="547"/>
      <c r="I73" s="554" t="s">
        <v>485</v>
      </c>
      <c r="J73" s="554"/>
      <c r="K73" s="554"/>
      <c r="L73" s="510"/>
      <c r="M73" s="514">
        <f>IF(Stamoplysninger!$B$26="Weekendtimer og weekendtillæg udbetales.",O69,0)</f>
        <v>0</v>
      </c>
      <c r="N73" s="514">
        <f>IF(Stamoplysninger!$B$26="Weekendtimer og weekendtillæg udbetales.",O69,0)</f>
        <v>0</v>
      </c>
      <c r="O73" s="463"/>
      <c r="P73" s="354"/>
      <c r="Q73" s="465"/>
      <c r="R73" s="234"/>
      <c r="S73" s="234"/>
      <c r="T73" s="234"/>
      <c r="U73" s="234"/>
      <c r="V73" s="234"/>
      <c r="W73" s="122"/>
      <c r="X73" s="122"/>
      <c r="Y73"/>
      <c r="Z73"/>
      <c r="AM73" s="1"/>
      <c r="BJ73" s="1"/>
      <c r="BU73" s="253"/>
      <c r="BV73" s="253"/>
      <c r="CY73"/>
      <c r="CZ73"/>
    </row>
    <row r="74" spans="1:109" hidden="1">
      <c r="A74" s="555" t="s">
        <v>444</v>
      </c>
      <c r="B74" s="547"/>
      <c r="C74" s="547"/>
      <c r="D74" s="547">
        <f>COUNTIF([0]!November,"Orlov")</f>
        <v>0</v>
      </c>
      <c r="E74" s="549"/>
      <c r="F74" s="556"/>
      <c r="G74" s="556"/>
      <c r="H74" s="556"/>
      <c r="I74" s="554" t="s">
        <v>334</v>
      </c>
      <c r="J74" s="554"/>
      <c r="K74" s="554"/>
      <c r="L74" s="510"/>
      <c r="M74" s="515">
        <f>IF(Stamoplysninger!$B$26="Der er indgået lokalaftale omkring weekendtimer.(Kræver aftale med TR/FSL) Weekendtillæg afspadseres.",O69,0)</f>
        <v>0</v>
      </c>
      <c r="N74" s="515">
        <f>IF(Stamoplysninger!$B$26="Der er indgået lokalaftale omkring weekendtimer.(Kræver aftale med TR/FSL) Weekendtillæg afspadseres.",N67,0)</f>
        <v>0</v>
      </c>
      <c r="O74" s="463"/>
      <c r="P74" s="354"/>
      <c r="Q74" s="465"/>
      <c r="R74" s="234"/>
      <c r="S74" s="234"/>
      <c r="T74" s="234"/>
      <c r="U74" s="234"/>
      <c r="V74" s="234"/>
      <c r="W74" s="122"/>
      <c r="X74" s="122"/>
      <c r="Y74"/>
      <c r="Z74"/>
      <c r="AM74" s="1"/>
      <c r="BJ74" s="1"/>
      <c r="BU74" s="253"/>
      <c r="BV74" s="253"/>
      <c r="CY74"/>
      <c r="CZ74"/>
    </row>
    <row r="75" spans="1:109" hidden="1">
      <c r="A75" s="547" t="s">
        <v>161</v>
      </c>
      <c r="B75" s="547"/>
      <c r="C75" s="547"/>
      <c r="D75" s="547">
        <f>COUNTIF([0]!November,"Ikke relevant")</f>
        <v>0</v>
      </c>
      <c r="E75" s="549"/>
      <c r="F75" s="547" t="s">
        <v>199</v>
      </c>
      <c r="G75" s="547">
        <f>COUNTIFS($B$9:$B$38,"ma",[0]!November,"Skema 3")</f>
        <v>0</v>
      </c>
      <c r="H75" s="547">
        <v>1</v>
      </c>
      <c r="I75" s="554" t="s">
        <v>335</v>
      </c>
      <c r="J75" s="554"/>
      <c r="K75" s="554"/>
      <c r="L75" s="510"/>
      <c r="M75" s="515">
        <f>IF(Stamoplysninger!$B$26="Der er indgået lokalaftale omkring weekendtimer(Kræver aftale med TR/FSL). Weekendtillæg udbetales.",O69,0)</f>
        <v>0</v>
      </c>
      <c r="N75" s="515">
        <f>IF(Stamoplysninger!$B$26="Der er indgået lokalaftale omkring weekendtimer(Kræver aftale med TR/FSL). Weekendtillæg udbetales.",N67,0)</f>
        <v>0</v>
      </c>
      <c r="O75" s="463"/>
      <c r="P75" s="354"/>
      <c r="Q75" s="465"/>
      <c r="R75" s="234"/>
      <c r="S75" s="234"/>
      <c r="T75" s="234"/>
      <c r="U75" s="234"/>
      <c r="V75" s="234"/>
      <c r="W75" s="122"/>
      <c r="X75" s="122"/>
      <c r="Y75"/>
      <c r="Z75"/>
      <c r="AM75" s="1"/>
      <c r="BJ75" s="1"/>
      <c r="BU75" s="253"/>
      <c r="BV75" s="253"/>
      <c r="CY75"/>
      <c r="CZ75"/>
    </row>
    <row r="76" spans="1:109" hidden="1">
      <c r="A76" s="547" t="s">
        <v>109</v>
      </c>
      <c r="B76" s="547"/>
      <c r="C76" s="547"/>
      <c r="D76" s="547">
        <f>SUM(D63:D75)</f>
        <v>30</v>
      </c>
      <c r="E76" s="547"/>
      <c r="F76" s="547" t="s">
        <v>200</v>
      </c>
      <c r="G76" s="547">
        <f>COUNTIFS($B$9:$B$38,"ti",[0]!November,"Skema 3")</f>
        <v>0</v>
      </c>
      <c r="H76" s="547">
        <v>2</v>
      </c>
      <c r="I76" s="554" t="s">
        <v>487</v>
      </c>
      <c r="J76" s="554"/>
      <c r="K76" s="554"/>
      <c r="L76" s="510"/>
      <c r="M76" s="515">
        <f>IF(Stamoplysninger!$B$26="Der er indgået lokalaftale omkring weekendtimer.(Kræver aftale med TR/FSL) Weekendtillæg afspadseres.",M67,0)</f>
        <v>0</v>
      </c>
      <c r="N76" s="515">
        <f>IF(Stamoplysninger!$B$26="Der er indgået lokalaftale omkring weekendtimer.(Kræver aftale med TR/FSL) Weekendtillæg afspadseres.",O69,0)</f>
        <v>0</v>
      </c>
      <c r="O76" s="44"/>
      <c r="P76" s="44"/>
      <c r="Q76" s="44"/>
      <c r="R76" s="44"/>
      <c r="S76" s="44"/>
      <c r="T76" s="44"/>
      <c r="V76" s="116"/>
      <c r="Y76"/>
      <c r="Z76"/>
      <c r="AO76" s="1"/>
      <c r="BL76" s="1"/>
      <c r="BW76" s="253"/>
      <c r="BX76" s="253"/>
      <c r="CY76"/>
      <c r="CZ76"/>
    </row>
    <row r="77" spans="1:109" hidden="1">
      <c r="A77" s="547" t="s">
        <v>242</v>
      </c>
      <c r="B77" s="547"/>
      <c r="C77" s="547"/>
      <c r="D77" s="547">
        <f>D76-D70-A86-D75</f>
        <v>22</v>
      </c>
      <c r="E77" s="557"/>
      <c r="F77" s="547" t="s">
        <v>201</v>
      </c>
      <c r="G77" s="547">
        <f>COUNTIFS($B$9:$B$38,"on",[0]!November,"Skema 3")</f>
        <v>0</v>
      </c>
      <c r="H77" s="547"/>
      <c r="I77" s="554" t="s">
        <v>488</v>
      </c>
      <c r="J77" s="554"/>
      <c r="K77" s="554"/>
      <c r="L77" s="510"/>
      <c r="M77" s="515">
        <f>IF(Stamoplysninger!$B$26="Der er indgået lokalaftale omkring weekendtimer(Kræver aftale med TR/FSL). Weekendtillæg udbetales.",M67,0)</f>
        <v>0</v>
      </c>
      <c r="N77" s="515">
        <f>IF(Stamoplysninger!$B$26="Der er indgået lokalaftale omkring weekendtimer(Kræver aftale med TR/FSL). Weekendtillæg udbetales.",O69,0)</f>
        <v>0</v>
      </c>
      <c r="Y77"/>
      <c r="Z77"/>
      <c r="AO77" s="1"/>
      <c r="BL77" s="1"/>
      <c r="BW77" s="253"/>
      <c r="BX77" s="253"/>
      <c r="CY77"/>
      <c r="CZ77"/>
    </row>
    <row r="78" spans="1:109" hidden="1">
      <c r="A78" s="547"/>
      <c r="B78" s="547"/>
      <c r="C78" s="547"/>
      <c r="D78" s="547"/>
      <c r="E78" s="547"/>
      <c r="F78" s="547" t="s">
        <v>202</v>
      </c>
      <c r="G78" s="547">
        <f>COUNTIFS($B$9:$B$38,"to",[0]!November,"Skema 3")</f>
        <v>0</v>
      </c>
      <c r="H78" s="547"/>
      <c r="I78" s="554" t="s">
        <v>336</v>
      </c>
      <c r="J78" s="554"/>
      <c r="K78" s="554"/>
      <c r="L78" s="510"/>
      <c r="M78" s="517">
        <f>IF(Stamoplysninger!$B$26="Der er indgået lokalaftale omkring weekendtillæg(Kræver aftale med TR/FSL). Weekendtimerne afspadseres.",M67,0)</f>
        <v>0</v>
      </c>
      <c r="N78" s="517">
        <f>IF(Stamoplysninger!$B$26="Der er indgået lokalaftale omkring weekendtillæg(Kræver aftale med TR/FSL). Weekendtimerne afspadseres.",N67,0)</f>
        <v>0</v>
      </c>
      <c r="Y78"/>
      <c r="Z78"/>
      <c r="AO78" s="1"/>
      <c r="BL78" s="1"/>
      <c r="BW78" s="253"/>
      <c r="BX78" s="253"/>
      <c r="CY78"/>
      <c r="CZ78"/>
    </row>
    <row r="79" spans="1:109" hidden="1">
      <c r="A79" s="547"/>
      <c r="B79" s="547"/>
      <c r="C79" s="547"/>
      <c r="D79" s="547"/>
      <c r="E79" s="547"/>
      <c r="F79" s="547" t="s">
        <v>203</v>
      </c>
      <c r="G79" s="547">
        <f>COUNTIFS($B$9:$B$38,"fr",[0]!November,"Skema 3")</f>
        <v>0</v>
      </c>
      <c r="H79" s="547">
        <v>1</v>
      </c>
      <c r="I79" s="554" t="s">
        <v>337</v>
      </c>
      <c r="J79" s="554"/>
      <c r="K79" s="554"/>
      <c r="L79" s="510"/>
      <c r="M79" s="517">
        <f>IF(Stamoplysninger!$B$26="Der er indgået lokalaftale omkring weekendtillæg(Kræver aftale med TR/FSL). Weekendtimerne udbetales.",M67,0)</f>
        <v>0</v>
      </c>
      <c r="N79" s="517">
        <f>IF(Stamoplysninger!$B$26="Der er indgået lokalaftale omkring weekendtillæg(Kræver aftale med TR/FSL). Weekendtimerne udbetales.",N67,0)</f>
        <v>0</v>
      </c>
      <c r="Y79"/>
      <c r="Z79"/>
      <c r="AO79" s="1"/>
      <c r="BL79" s="1"/>
      <c r="BW79" s="253"/>
      <c r="BX79" s="253"/>
      <c r="CY79"/>
      <c r="CZ79"/>
    </row>
    <row r="80" spans="1:109" hidden="1">
      <c r="A80" s="547" t="s">
        <v>298</v>
      </c>
      <c r="B80" s="547"/>
      <c r="C80" s="547"/>
      <c r="D80" s="547"/>
      <c r="E80" s="547"/>
      <c r="F80" s="547"/>
      <c r="G80" s="547"/>
      <c r="H80" s="547">
        <v>2</v>
      </c>
      <c r="I80" s="554" t="s">
        <v>489</v>
      </c>
      <c r="J80" s="554"/>
      <c r="K80" s="554"/>
      <c r="L80" s="510"/>
      <c r="M80" s="517">
        <f>IF(Stamoplysninger!$B$26="Der er indgået lokalaftale omkring weekendtillæg(Kræver aftale med TR/FSL). Weekendtimerne afspadseres.",M67,0)</f>
        <v>0</v>
      </c>
      <c r="N80" s="517">
        <f>IF(Stamoplysninger!$B$26="Der er indgået lokalaftale omkring weekendtillæg(Kræver aftale med TR/FSL). Weekendtimerne afspadseres.",N67,0)</f>
        <v>0</v>
      </c>
      <c r="Y80"/>
      <c r="Z80"/>
      <c r="AO80" s="1"/>
      <c r="BL80" s="1"/>
      <c r="BW80" s="253"/>
      <c r="BX80" s="253"/>
      <c r="CY80"/>
      <c r="CZ80"/>
    </row>
    <row r="81" spans="1:111" hidden="1">
      <c r="A81" s="547">
        <f>COUNTIF($C$12:$C$13,"Skema 1")+COUNTIF($C$12:$C$13,"Skema 2")+COUNTIF($C$12:$C$13,"Skema 3")+COUNTIF($C$12:$C$13,"Skema 4")+COUNTIF($C$12:$C$13,"Fagdag")+COUNTIF($C$12:$C$13,"Emnedag")+COUNTIF($C$12:$C$13,"Lejrskole")+COUNTIF($C$12:$C$13,"Ekskursion")+COUNTIF($C$12:$C$13,"Pæd.dag")</f>
        <v>0</v>
      </c>
      <c r="B81" s="547"/>
      <c r="C81" s="547"/>
      <c r="D81" s="547"/>
      <c r="E81" s="547"/>
      <c r="F81" s="547" t="s">
        <v>204</v>
      </c>
      <c r="G81" s="547">
        <f>COUNTIFS($B$9:$B$38,"ma",[0]!November,"Skema 4")</f>
        <v>0</v>
      </c>
      <c r="H81" s="547"/>
      <c r="I81" s="554" t="s">
        <v>490</v>
      </c>
      <c r="J81" s="554"/>
      <c r="K81" s="554"/>
      <c r="L81" s="510"/>
      <c r="M81" s="517">
        <f>IF(Stamoplysninger!$B$26="Der er indgået lokalaftale omkring weekendtillæg(Kræver aftale med TR/FSL). Weekendtimerne udbetales.",M67,0)</f>
        <v>0</v>
      </c>
      <c r="N81" s="517">
        <f>IF(Stamoplysninger!$B$26="Der er indgået lokalaftale omkring weekendtillæg(Kræver aftale med TR/FSL). Weekendtimerne udbetales.",N67,0)</f>
        <v>0</v>
      </c>
      <c r="Y81"/>
      <c r="Z81"/>
      <c r="AO81" s="1"/>
      <c r="BL81" s="1"/>
      <c r="BW81" s="253"/>
      <c r="BX81" s="253"/>
      <c r="CY81"/>
      <c r="CZ81"/>
    </row>
    <row r="82" spans="1:111" hidden="1">
      <c r="A82" s="547">
        <f>COUNTIF($C$19:$C$20,"Skema 1")+COUNTIF($C$19:$C$20,"Skema 2")+COUNTIF($C$19:$C$20,"Skema 3")+COUNTIF($C$19:$C$20,"Skema 4")+COUNTIF($C$19:$C$20,"Fagdag")+COUNTIF($C$19:$C$20,"Emnedag")+COUNTIF($C$19:$C$20,"Lejrskole")+COUNTIF($C$19:$C$20,"Ekskursion")+COUNTIF($C$19:$C$20,"Pæd.dag")</f>
        <v>0</v>
      </c>
      <c r="B82" s="547"/>
      <c r="C82" s="547"/>
      <c r="D82" s="547"/>
      <c r="E82" s="547"/>
      <c r="F82" s="547" t="s">
        <v>205</v>
      </c>
      <c r="G82" s="547">
        <f>COUNTIFS($B$9:$B$38,"ti",[0]!November,"Skema 4")</f>
        <v>0</v>
      </c>
      <c r="H82" s="547"/>
      <c r="I82" s="547" t="s">
        <v>486</v>
      </c>
      <c r="J82" s="552"/>
      <c r="K82" s="552"/>
      <c r="L82" s="44"/>
      <c r="M82" s="463">
        <f>IF(Stamoplysninger!$B$26="Der er indgået lokalaftale omkring weekendtimer og weekendtillæg.(Kræver aftale med TR/FSL).",M67,0)</f>
        <v>0</v>
      </c>
      <c r="N82" s="463"/>
      <c r="Y82"/>
      <c r="Z82"/>
      <c r="AO82" s="1"/>
      <c r="BL82" s="1"/>
      <c r="BW82" s="253"/>
      <c r="BX82" s="253"/>
      <c r="CY82"/>
      <c r="CZ82"/>
    </row>
    <row r="83" spans="1:111" hidden="1">
      <c r="A83" s="547">
        <f>COUNTIF($C$26:$C$27,"Skema 1")+COUNTIF($C$26:$C$27,"Skema 2")+COUNTIF($C$26:$C$27,"Skema 3")+COUNTIF($C$26:$C$27,"Skema 4")+COUNTIF($C$26:$C$27,"Fagdag")+COUNTIF($C$26:$C$27,"Emnedag")+COUNTIF($C$26:$C$27,"Lejrskole")+COUNTIF($C$26:$C$27,"Ekskursion")+COUNTIF($C$26:$C$27,"Pæd.dag")</f>
        <v>0</v>
      </c>
      <c r="B83" s="547"/>
      <c r="C83" s="547"/>
      <c r="D83" s="547"/>
      <c r="E83" s="547"/>
      <c r="F83" s="547" t="s">
        <v>206</v>
      </c>
      <c r="G83" s="547">
        <f>COUNTIFS($B$9:$B$38,"on",[0]!November,"Skema 4")</f>
        <v>0</v>
      </c>
      <c r="H83" s="547"/>
      <c r="I83" s="547"/>
      <c r="J83" s="552"/>
      <c r="K83" s="552"/>
      <c r="L83" s="44"/>
      <c r="Y83"/>
      <c r="Z83"/>
      <c r="AO83" s="1"/>
      <c r="BL83" s="1"/>
      <c r="BW83" s="253"/>
      <c r="BX83" s="253"/>
      <c r="CY83"/>
      <c r="CZ83"/>
    </row>
    <row r="84" spans="1:111" hidden="1">
      <c r="A84" s="547">
        <f>COUNTIF($C$33:$C$34,"Skema 1")+COUNTIF($C$33:$C$34,"Skema 2")+COUNTIF($C$33:$C$34,"Skema 3")+COUNTIF($C$33:$C$34,"Skema 4")+COUNTIF($C$33:$C$34,"Fagdag")+COUNTIF($C$33:$C$34,"Emnedag")+COUNTIF($C$33:$C$34,"Lejrskole")+COUNTIF($C$33:$C$34,"Ekskursion")+COUNTIF($C$33:$C$34,"Pæd.dag")</f>
        <v>0</v>
      </c>
      <c r="B84" s="547"/>
      <c r="C84" s="547"/>
      <c r="D84" s="547"/>
      <c r="E84" s="547"/>
      <c r="F84" s="547" t="s">
        <v>207</v>
      </c>
      <c r="G84" s="547">
        <f>COUNTIFS($B$9:$B$38,"to",[0]!November,"Skema 4")</f>
        <v>0</v>
      </c>
      <c r="H84" s="547"/>
      <c r="I84" s="547"/>
      <c r="J84" s="552"/>
      <c r="K84" s="552"/>
      <c r="L84" s="44"/>
      <c r="Y84"/>
      <c r="Z84"/>
      <c r="AO84" s="1">
        <f>SUM(N84:AN84)</f>
        <v>0</v>
      </c>
      <c r="BL84" s="1">
        <f>SUM(AI84:BK84)</f>
        <v>0</v>
      </c>
      <c r="BW84" s="253"/>
      <c r="BX84" s="253"/>
      <c r="CY84"/>
      <c r="CZ84"/>
    </row>
    <row r="85" spans="1:111" hidden="1">
      <c r="A85" s="547"/>
      <c r="B85" s="547"/>
      <c r="C85" s="547"/>
      <c r="D85" s="547"/>
      <c r="E85" s="547"/>
      <c r="F85" s="547" t="s">
        <v>208</v>
      </c>
      <c r="G85" s="547">
        <f>COUNTIFS($B$9:$B$38,"fr",[0]!November,"Skema 4")</f>
        <v>0</v>
      </c>
      <c r="H85" s="547"/>
      <c r="I85" s="552"/>
      <c r="J85" s="552"/>
      <c r="K85" s="552"/>
      <c r="L85" s="44"/>
      <c r="Y85"/>
      <c r="Z85"/>
      <c r="AO85" s="1">
        <f>SUM(N85:AN85)</f>
        <v>0</v>
      </c>
      <c r="BL85" s="1">
        <f>SUM(AI85:BK85)</f>
        <v>0</v>
      </c>
      <c r="BW85" s="253"/>
      <c r="BX85" s="253"/>
      <c r="CY85"/>
      <c r="CZ85"/>
    </row>
    <row r="86" spans="1:111" hidden="1">
      <c r="A86" s="547">
        <f>SUM(A81:A85)</f>
        <v>0</v>
      </c>
      <c r="B86" s="547"/>
      <c r="C86" s="547"/>
      <c r="D86" s="547"/>
      <c r="E86" s="547"/>
      <c r="F86" s="547"/>
      <c r="G86" s="555">
        <f>SUM(G63:G85)</f>
        <v>22</v>
      </c>
      <c r="H86" s="552"/>
      <c r="I86" s="552"/>
      <c r="J86" s="552"/>
      <c r="K86" s="552"/>
      <c r="L86" s="44"/>
      <c r="Y86"/>
      <c r="Z86"/>
      <c r="AO86" s="1">
        <f>SUM(N86:AN86)</f>
        <v>0</v>
      </c>
      <c r="BL86" s="1">
        <f>SUM(AI86:BK86)</f>
        <v>0</v>
      </c>
      <c r="BW86" s="253"/>
      <c r="BX86" s="253"/>
      <c r="CY86"/>
      <c r="CZ86"/>
    </row>
    <row r="87" spans="1:111" hidden="1">
      <c r="A87" s="552"/>
      <c r="B87" s="552"/>
      <c r="C87" s="552"/>
      <c r="D87" s="552"/>
      <c r="E87" s="547"/>
      <c r="F87" s="547"/>
      <c r="G87" s="547"/>
      <c r="H87" s="552"/>
      <c r="I87" s="552"/>
      <c r="J87" s="552"/>
      <c r="K87" s="552"/>
      <c r="L87" s="44"/>
      <c r="Y87"/>
      <c r="Z87"/>
      <c r="AO87" s="1">
        <f>SUM(N87:AN87)</f>
        <v>0</v>
      </c>
      <c r="BL87" s="1">
        <f>SUM(AI87:BK87)</f>
        <v>0</v>
      </c>
      <c r="BW87" s="253"/>
      <c r="BX87" s="253"/>
      <c r="CY87"/>
      <c r="CZ87"/>
    </row>
    <row r="88" spans="1:111" hidden="1">
      <c r="A88" s="552"/>
      <c r="B88" s="552"/>
      <c r="C88" s="552"/>
      <c r="D88" s="552"/>
      <c r="E88" s="547"/>
      <c r="F88" s="547"/>
      <c r="G88" s="547"/>
      <c r="H88" s="552"/>
      <c r="I88" s="552"/>
      <c r="J88" s="552"/>
      <c r="K88" s="552"/>
      <c r="L88" s="44"/>
      <c r="Y88"/>
      <c r="Z88"/>
      <c r="BW88" s="253"/>
      <c r="BX88" s="253"/>
      <c r="CY88"/>
      <c r="CZ88"/>
    </row>
    <row r="89" spans="1:111" hidden="1">
      <c r="A89" s="552"/>
      <c r="B89" s="552"/>
      <c r="C89" s="552"/>
      <c r="D89" s="552"/>
      <c r="E89" s="547"/>
      <c r="F89" s="547"/>
      <c r="G89" s="547"/>
      <c r="H89" s="552"/>
      <c r="I89" s="552"/>
      <c r="J89" s="552"/>
      <c r="K89" s="552"/>
      <c r="L89" s="44"/>
      <c r="Y89"/>
      <c r="Z89"/>
      <c r="BW89" s="253"/>
      <c r="BX89" s="253"/>
      <c r="CY89"/>
      <c r="CZ89"/>
    </row>
    <row r="90" spans="1:111" hidden="1">
      <c r="A90" s="552"/>
      <c r="B90" s="552"/>
      <c r="C90" s="552"/>
      <c r="D90" s="552"/>
      <c r="E90" s="547"/>
      <c r="F90" s="547"/>
      <c r="G90" s="547"/>
      <c r="H90" s="552"/>
      <c r="I90" s="552"/>
      <c r="J90" s="552"/>
      <c r="K90" s="552"/>
      <c r="L90" s="44"/>
      <c r="Y90"/>
      <c r="Z90"/>
      <c r="BW90" s="253"/>
      <c r="BX90" s="253"/>
      <c r="CY90"/>
      <c r="CZ90"/>
    </row>
    <row r="91" spans="1:111" hidden="1">
      <c r="A91" s="552"/>
      <c r="B91" s="552"/>
      <c r="C91" s="552"/>
      <c r="D91" s="552"/>
      <c r="E91" s="547"/>
      <c r="F91" s="547"/>
      <c r="G91" s="547"/>
      <c r="H91" s="552"/>
      <c r="I91" s="552"/>
      <c r="J91" s="552"/>
      <c r="K91" s="552"/>
      <c r="Y91"/>
      <c r="Z91"/>
      <c r="BW91" s="253"/>
      <c r="BX91" s="253"/>
      <c r="CY91"/>
      <c r="CZ91"/>
    </row>
    <row r="92" spans="1:111" hidden="1">
      <c r="A92" s="552"/>
      <c r="B92" s="552"/>
      <c r="C92" s="552"/>
      <c r="D92" s="552"/>
      <c r="E92" s="547"/>
      <c r="F92" s="547"/>
      <c r="G92" s="547"/>
      <c r="H92" s="552"/>
      <c r="I92" s="552"/>
      <c r="J92" s="552"/>
      <c r="K92" s="552"/>
      <c r="Y92"/>
      <c r="Z92"/>
      <c r="BW92" s="253"/>
      <c r="BX92" s="253"/>
      <c r="CY92"/>
      <c r="CZ92"/>
    </row>
    <row r="93" spans="1:111" hidden="1">
      <c r="A93" s="552"/>
      <c r="B93" s="552"/>
      <c r="C93" s="552"/>
      <c r="D93" s="552"/>
      <c r="E93" s="547"/>
      <c r="F93" s="547"/>
      <c r="G93" s="547"/>
      <c r="H93" s="552"/>
      <c r="I93" s="552"/>
      <c r="J93" s="552"/>
      <c r="K93" s="552"/>
      <c r="Y93"/>
      <c r="Z93"/>
      <c r="AD93" s="4"/>
      <c r="AE93" s="235"/>
      <c r="AF93" s="235"/>
      <c r="AG93" s="235"/>
      <c r="AH93" s="235"/>
      <c r="CY93"/>
      <c r="CZ93"/>
      <c r="DF93" s="253"/>
      <c r="DG93" s="253"/>
    </row>
    <row r="94" spans="1:111" hidden="1">
      <c r="A94" s="477"/>
      <c r="B94" s="477"/>
      <c r="C94" s="477"/>
      <c r="D94" s="477"/>
      <c r="E94" s="122"/>
      <c r="F94" s="122"/>
      <c r="G94" s="122"/>
      <c r="H94" s="477"/>
      <c r="I94" s="477"/>
      <c r="J94" s="477"/>
      <c r="Y94"/>
      <c r="Z94"/>
      <c r="AD94" s="4"/>
      <c r="AE94" s="235"/>
      <c r="AF94" s="235"/>
      <c r="AG94" s="235"/>
      <c r="AH94" s="235"/>
      <c r="CY94"/>
      <c r="CZ94"/>
      <c r="DF94" s="253"/>
      <c r="DG94" s="253"/>
    </row>
    <row r="95" spans="1:111">
      <c r="A95" s="477"/>
      <c r="B95" s="477"/>
      <c r="C95" s="477"/>
      <c r="D95" s="477"/>
      <c r="E95" s="122"/>
      <c r="F95" s="122"/>
      <c r="G95" s="122"/>
      <c r="H95" s="477"/>
      <c r="I95" s="477"/>
      <c r="J95" s="477"/>
    </row>
    <row r="96" spans="1:111">
      <c r="A96" s="477"/>
      <c r="B96" s="477"/>
      <c r="C96" s="477"/>
      <c r="D96" s="477"/>
      <c r="E96" s="122"/>
      <c r="F96" s="122"/>
      <c r="G96" s="122"/>
      <c r="H96" s="477"/>
      <c r="I96" s="477"/>
      <c r="J96" s="477"/>
    </row>
    <row r="97" spans="1:8">
      <c r="A97" s="477"/>
      <c r="B97" s="477"/>
      <c r="C97" s="477"/>
      <c r="D97" s="477"/>
      <c r="E97" s="477"/>
      <c r="F97" s="477"/>
      <c r="G97" s="477"/>
      <c r="H97" s="477"/>
    </row>
    <row r="98" spans="1:8">
      <c r="A98" s="477"/>
      <c r="B98" s="477"/>
      <c r="C98" s="477"/>
      <c r="D98" s="477"/>
    </row>
  </sheetData>
  <sheetProtection sheet="1" objects="1" scenarios="1"/>
  <mergeCells count="141">
    <mergeCell ref="E15:G15"/>
    <mergeCell ref="E16:G16"/>
    <mergeCell ref="E34:G34"/>
    <mergeCell ref="E35:G35"/>
    <mergeCell ref="E23:G23"/>
    <mergeCell ref="E24:G24"/>
    <mergeCell ref="E25:G25"/>
    <mergeCell ref="E26:G26"/>
    <mergeCell ref="E27:G27"/>
    <mergeCell ref="E28:G28"/>
    <mergeCell ref="E17:G17"/>
    <mergeCell ref="E18:G18"/>
    <mergeCell ref="E19:G19"/>
    <mergeCell ref="E20:G20"/>
    <mergeCell ref="E21:G21"/>
    <mergeCell ref="E22:G22"/>
    <mergeCell ref="E29:G29"/>
    <mergeCell ref="E30:G30"/>
    <mergeCell ref="E31:G31"/>
    <mergeCell ref="E33:G33"/>
    <mergeCell ref="E32:G32"/>
    <mergeCell ref="A3:X3"/>
    <mergeCell ref="E11:G11"/>
    <mergeCell ref="E12:G12"/>
    <mergeCell ref="E13:G13"/>
    <mergeCell ref="E14:G14"/>
    <mergeCell ref="B2:E2"/>
    <mergeCell ref="E4:G4"/>
    <mergeCell ref="K4:L4"/>
    <mergeCell ref="A5:R5"/>
    <mergeCell ref="A4:D4"/>
    <mergeCell ref="I8:J8"/>
    <mergeCell ref="K8:R8"/>
    <mergeCell ref="I6:I7"/>
    <mergeCell ref="J6:J7"/>
    <mergeCell ref="Q6:Q7"/>
    <mergeCell ref="R6:R7"/>
    <mergeCell ref="E6:G8"/>
    <mergeCell ref="K6:L6"/>
    <mergeCell ref="N6:N7"/>
    <mergeCell ref="O6:O7"/>
    <mergeCell ref="M46:X46"/>
    <mergeCell ref="BL6:BP6"/>
    <mergeCell ref="P6:P7"/>
    <mergeCell ref="AA6:AE6"/>
    <mergeCell ref="AG6:AK6"/>
    <mergeCell ref="S5:X5"/>
    <mergeCell ref="S6:X6"/>
    <mergeCell ref="S8:U8"/>
    <mergeCell ref="V8:X8"/>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M47:U47"/>
    <mergeCell ref="V47:X47"/>
    <mergeCell ref="A47:H47"/>
    <mergeCell ref="I47:K47"/>
    <mergeCell ref="A64:C64"/>
    <mergeCell ref="A49:H49"/>
    <mergeCell ref="I49:K49"/>
    <mergeCell ref="I50:K50"/>
    <mergeCell ref="M48:U48"/>
    <mergeCell ref="V48:X48"/>
    <mergeCell ref="M49:U49"/>
    <mergeCell ref="V49:X49"/>
    <mergeCell ref="M50:U50"/>
    <mergeCell ref="V50:X50"/>
    <mergeCell ref="I60:K60"/>
    <mergeCell ref="A61:G61"/>
    <mergeCell ref="I61:K61"/>
    <mergeCell ref="A54:G54"/>
    <mergeCell ref="I54:K54"/>
    <mergeCell ref="A48:H48"/>
    <mergeCell ref="I48:K48"/>
    <mergeCell ref="A65:C65"/>
    <mergeCell ref="M51:U51"/>
    <mergeCell ref="V51:X51"/>
    <mergeCell ref="A52:G53"/>
    <mergeCell ref="I52:K52"/>
    <mergeCell ref="M52:U52"/>
    <mergeCell ref="V52:X52"/>
    <mergeCell ref="I53:K53"/>
    <mergeCell ref="A59:B59"/>
    <mergeCell ref="C59:D59"/>
    <mergeCell ref="E59:G59"/>
    <mergeCell ref="I59:K59"/>
    <mergeCell ref="A60:B60"/>
    <mergeCell ref="C60:D60"/>
    <mergeCell ref="E60:G60"/>
    <mergeCell ref="E36:G36"/>
    <mergeCell ref="E37:G37"/>
    <mergeCell ref="E38:G38"/>
    <mergeCell ref="A39:I39"/>
    <mergeCell ref="A41:G41"/>
    <mergeCell ref="I41:K41"/>
    <mergeCell ref="C58:D58"/>
    <mergeCell ref="E58:G58"/>
    <mergeCell ref="I58:K58"/>
    <mergeCell ref="A46:G46"/>
    <mergeCell ref="I46:K46"/>
    <mergeCell ref="A44:G44"/>
    <mergeCell ref="I44:K44"/>
    <mergeCell ref="A45:G45"/>
    <mergeCell ref="I45:K45"/>
    <mergeCell ref="A66:C66"/>
    <mergeCell ref="M41:X41"/>
    <mergeCell ref="M42:U42"/>
    <mergeCell ref="V42:X42"/>
    <mergeCell ref="M43:U43"/>
    <mergeCell ref="V43:X43"/>
    <mergeCell ref="M44:U44"/>
    <mergeCell ref="V44:X44"/>
    <mergeCell ref="M45:U45"/>
    <mergeCell ref="V45:X45"/>
    <mergeCell ref="A42:G42"/>
    <mergeCell ref="I42:K42"/>
    <mergeCell ref="A43:G43"/>
    <mergeCell ref="I43:K43"/>
    <mergeCell ref="A55:K55"/>
    <mergeCell ref="A56:B56"/>
    <mergeCell ref="C56:D56"/>
    <mergeCell ref="E56:G56"/>
    <mergeCell ref="H56:K56"/>
    <mergeCell ref="A57:B57"/>
    <mergeCell ref="C57:D57"/>
    <mergeCell ref="E57:G57"/>
    <mergeCell ref="I57:K57"/>
    <mergeCell ref="A58:B58"/>
  </mergeCells>
  <phoneticPr fontId="5" type="noConversion"/>
  <conditionalFormatting sqref="A9:H31 A32:E32 H32 A33:H38">
    <cfRule type="expression" dxfId="745" priority="42">
      <formula>OR($C9="ekskursion")</formula>
    </cfRule>
    <cfRule type="expression" dxfId="744" priority="48" stopIfTrue="1">
      <formula>OR($C9="Orlov")</formula>
    </cfRule>
    <cfRule type="expression" dxfId="743" priority="47">
      <formula>OR($C9="weekend")</formula>
    </cfRule>
    <cfRule type="expression" dxfId="742" priority="46">
      <formula>OR($C9="feriedag")</formula>
    </cfRule>
    <cfRule type="expression" dxfId="741" priority="45">
      <formula>OR($C9="fagdag")</formula>
    </cfRule>
    <cfRule type="expression" dxfId="740" priority="44">
      <formula>OR($C9="emnedag")</formula>
    </cfRule>
    <cfRule type="expression" dxfId="739" priority="43">
      <formula>OR($C9="lejrskole")</formula>
    </cfRule>
    <cfRule type="expression" dxfId="738" priority="41">
      <formula>OR($C9="SH-dag")</formula>
    </cfRule>
    <cfRule type="expression" dxfId="737" priority="40">
      <formula>OR($C9="nul-dag")</formula>
    </cfRule>
    <cfRule type="expression" dxfId="736" priority="39">
      <formula>OR($C9="pæd.dag")</formula>
    </cfRule>
    <cfRule type="expression" dxfId="735" priority="38">
      <formula>OR($C9="Ikke relevant")</formula>
    </cfRule>
    <cfRule type="expression" dxfId="734" priority="34">
      <formula>OR($C9="Skema 1")</formula>
    </cfRule>
    <cfRule type="expression" dxfId="733" priority="35">
      <formula>OR($C9="skema 2")</formula>
    </cfRule>
    <cfRule type="expression" dxfId="732" priority="36">
      <formula>OR($C9="Skema 3")</formula>
    </cfRule>
    <cfRule type="expression" dxfId="731" priority="37">
      <formula>OR($C9="Skema 4")</formula>
    </cfRule>
  </conditionalFormatting>
  <conditionalFormatting sqref="E20">
    <cfRule type="expression" dxfId="730" priority="50">
      <formula>OR($D19="nul-dag")</formula>
    </cfRule>
    <cfRule type="expression" dxfId="729" priority="51">
      <formula>OR($D19="SH-dag")</formula>
    </cfRule>
    <cfRule type="expression" dxfId="728" priority="52">
      <formula>OR($D19="ekskursion")</formula>
    </cfRule>
    <cfRule type="expression" dxfId="727" priority="53">
      <formula>OR($D19="lejrskole")</formula>
    </cfRule>
    <cfRule type="expression" dxfId="726" priority="49">
      <formula>OR($D19="pæd.dag")</formula>
    </cfRule>
    <cfRule type="expression" dxfId="725" priority="54">
      <formula>OR($D19="emnedag")</formula>
    </cfRule>
    <cfRule type="expression" dxfId="724" priority="55">
      <formula>OR($D19="fagdag")</formula>
    </cfRule>
    <cfRule type="expression" dxfId="723" priority="56">
      <formula>OR($D19="feriedag")</formula>
    </cfRule>
    <cfRule type="expression" dxfId="722" priority="57">
      <formula>OR($D19="weekend")</formula>
    </cfRule>
    <cfRule type="expression" dxfId="721" priority="58" stopIfTrue="1">
      <formula>OR($D19="skoledag")</formula>
    </cfRule>
    <cfRule type="expression" dxfId="720" priority="59">
      <formula>OR($D19="Ikke relevant")</formula>
    </cfRule>
  </conditionalFormatting>
  <conditionalFormatting sqref="H57:H60">
    <cfRule type="expression" dxfId="719" priority="1">
      <formula>OR($A57&gt;0,)</formula>
    </cfRule>
  </conditionalFormatting>
  <conditionalFormatting sqref="I57:I60">
    <cfRule type="expression" dxfId="718" priority="2">
      <formula>OR($C57&gt;0,)</formula>
    </cfRule>
  </conditionalFormatting>
  <conditionalFormatting sqref="K9:K38">
    <cfRule type="expression" dxfId="717" priority="31">
      <formula>OR($C9="Pæd.dag",)</formula>
    </cfRule>
  </conditionalFormatting>
  <conditionalFormatting sqref="K9:L38">
    <cfRule type="expression" dxfId="716" priority="33">
      <formula>OR($C9="Ekskursion",)</formula>
    </cfRule>
    <cfRule type="expression" dxfId="715" priority="32">
      <formula>OR($C9="Lejrskole",)</formula>
    </cfRule>
  </conditionalFormatting>
  <conditionalFormatting sqref="K9:M38">
    <cfRule type="expression" dxfId="714" priority="30">
      <formula>OR($C9="emnedag",)</formula>
    </cfRule>
    <cfRule type="expression" dxfId="713" priority="29">
      <formula>OR($C9="fagdag",)</formula>
    </cfRule>
  </conditionalFormatting>
  <conditionalFormatting sqref="R9:R38">
    <cfRule type="expression" dxfId="712" priority="60">
      <formula>OR($H9&gt;"0",)</formula>
    </cfRule>
  </conditionalFormatting>
  <conditionalFormatting sqref="V9:V38">
    <cfRule type="expression" dxfId="711" priority="11">
      <formula>OR($S9="X",)</formula>
    </cfRule>
  </conditionalFormatting>
  <conditionalFormatting sqref="V48:X51">
    <cfRule type="expression" dxfId="710" priority="3">
      <formula>OR($M48&gt;0,)</formula>
    </cfRule>
  </conditionalFormatting>
  <conditionalFormatting sqref="W9:W38">
    <cfRule type="expression" dxfId="709" priority="9">
      <formula>OR($T9="X",)</formula>
    </cfRule>
  </conditionalFormatting>
  <conditionalFormatting sqref="X9:X38">
    <cfRule type="expression" dxfId="708" priority="10">
      <formula>OR($U9="X",)</formula>
    </cfRule>
  </conditionalFormatting>
  <dataValidations count="3">
    <dataValidation type="list" allowBlank="1" showInputMessage="1" showErrorMessage="1" sqref="S9:U38 A57:D60" xr:uid="{EDE9D3BB-3F35-2747-835E-B54B86549652}">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6:I27 I12:I13 I19:I20 I33:I34" xr:uid="{AB8DC5DC-53A9-064F-AC0D-F74976A97A73}">
      <formula1>$W$1:$W$2</formula1>
    </dataValidation>
    <dataValidation type="list" allowBlank="1" showInputMessage="1" showErrorMessage="1" promptTitle="OBS:" prompt="Ved arrangementer med overnatning ydes istedet for ulempe- og weekendgodtgørelse på hhv. 25% og 50% faste tillæg pr. påbegyndt dag. " sqref="J9:J38" xr:uid="{07E5C6AB-8020-F34F-8FE6-46083758EDB3}">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2C9AEEEB-F58D-5246-BA7F-BF5F3C7C9A8D}">
          <x14:formula1>
            <xm:f>August!$A$89:$A$103</xm:f>
          </x14:formula1>
          <xm:sqref>C9:C38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7B7D6-73EB-D74A-9E9B-2AE6D07C8FA1}">
  <sheetPr>
    <tabColor theme="4" tint="-0.249977111117893"/>
    <pageSetUpPr fitToPage="1"/>
  </sheetPr>
  <dimension ref="A1:DN101"/>
  <sheetViews>
    <sheetView zoomScaleNormal="100" workbookViewId="0">
      <selection activeCell="E6" sqref="E6:G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8"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44"/>
      <c r="Y1" s="251"/>
      <c r="Z1" s="94"/>
      <c r="AB1" s="94"/>
      <c r="AC1" s="94"/>
      <c r="AH1" s="94"/>
      <c r="AI1" s="94"/>
      <c r="CX1" s="253"/>
      <c r="CZ1"/>
    </row>
    <row r="2" spans="1:118" ht="20">
      <c r="A2" s="96">
        <v>12</v>
      </c>
      <c r="B2" s="1009"/>
      <c r="C2" s="1009"/>
      <c r="D2" s="1009"/>
      <c r="E2" s="1009"/>
      <c r="F2" s="94"/>
      <c r="G2" s="94"/>
      <c r="H2" s="292"/>
      <c r="I2" s="291"/>
      <c r="J2" s="234"/>
      <c r="K2" s="234"/>
      <c r="L2" s="234"/>
      <c r="M2" s="234"/>
      <c r="N2" s="234"/>
      <c r="O2" s="234"/>
      <c r="P2" s="94"/>
      <c r="Q2" s="94"/>
      <c r="R2" s="94"/>
      <c r="S2" s="94"/>
      <c r="T2" s="94"/>
      <c r="U2" s="94"/>
      <c r="V2" s="94"/>
      <c r="W2" s="127" t="s">
        <v>31</v>
      </c>
      <c r="X2" s="127" t="s">
        <v>31</v>
      </c>
      <c r="Y2"/>
      <c r="Z2" s="94"/>
      <c r="AA2" s="94"/>
      <c r="AE2" s="94"/>
      <c r="AG2" s="94"/>
      <c r="CV2" s="253"/>
      <c r="CW2" s="253"/>
      <c r="CY2"/>
      <c r="CZ2"/>
    </row>
    <row r="3" spans="1:118">
      <c r="A3" s="1022" t="s">
        <v>316</v>
      </c>
      <c r="B3" s="1023"/>
      <c r="C3" s="1023"/>
      <c r="D3" s="1023"/>
      <c r="E3" s="1023"/>
      <c r="F3" s="1023"/>
      <c r="G3" s="1023"/>
      <c r="H3" s="1023"/>
      <c r="I3" s="1023"/>
      <c r="J3" s="1023"/>
      <c r="K3" s="1023"/>
      <c r="L3" s="1023"/>
      <c r="M3" s="1023"/>
      <c r="N3" s="1023"/>
      <c r="O3" s="1023"/>
      <c r="P3" s="1023"/>
      <c r="Q3" s="1023"/>
      <c r="R3" s="1023"/>
      <c r="S3" s="1023"/>
      <c r="T3" s="1023"/>
      <c r="U3" s="1023"/>
      <c r="V3" s="1023"/>
      <c r="W3" s="1023"/>
      <c r="X3" s="1024"/>
      <c r="Y3" s="94"/>
      <c r="Z3"/>
      <c r="AC3" s="94"/>
      <c r="AD3" s="94"/>
      <c r="AF3" s="94"/>
      <c r="CT3" s="253"/>
      <c r="CU3" s="253"/>
      <c r="CY3"/>
      <c r="CZ3"/>
    </row>
    <row r="4" spans="1:118" ht="254" customHeight="1" thickBot="1">
      <c r="A4" s="921" t="s">
        <v>463</v>
      </c>
      <c r="B4" s="922"/>
      <c r="C4" s="922"/>
      <c r="D4" s="922"/>
      <c r="E4" s="923" t="s">
        <v>317</v>
      </c>
      <c r="F4" s="923"/>
      <c r="G4" s="923"/>
      <c r="H4" s="293" t="s">
        <v>442</v>
      </c>
      <c r="I4" s="468" t="s">
        <v>511</v>
      </c>
      <c r="J4" s="468" t="s">
        <v>512</v>
      </c>
      <c r="K4" s="933" t="s">
        <v>579</v>
      </c>
      <c r="L4" s="933"/>
      <c r="M4" s="533" t="s">
        <v>499</v>
      </c>
      <c r="N4" s="533" t="s">
        <v>464</v>
      </c>
      <c r="O4" s="533" t="s">
        <v>465</v>
      </c>
      <c r="P4" s="534" t="s">
        <v>500</v>
      </c>
      <c r="Q4" s="534" t="s">
        <v>315</v>
      </c>
      <c r="R4" s="534" t="s">
        <v>466</v>
      </c>
      <c r="S4" s="535" t="s">
        <v>509</v>
      </c>
      <c r="T4" s="535" t="s">
        <v>467</v>
      </c>
      <c r="U4" s="535" t="s">
        <v>468</v>
      </c>
      <c r="V4" s="536" t="s">
        <v>501</v>
      </c>
      <c r="W4" s="536" t="s">
        <v>427</v>
      </c>
      <c r="X4" s="537" t="s">
        <v>426</v>
      </c>
      <c r="Y4" s="251"/>
      <c r="Z4" s="94"/>
      <c r="AB4" s="94"/>
      <c r="AC4" s="94"/>
      <c r="AH4" s="94"/>
      <c r="AI4" s="94"/>
      <c r="CX4" s="253"/>
      <c r="CZ4"/>
    </row>
    <row r="5" spans="1:118" ht="26" thickBot="1">
      <c r="A5" s="934" t="str">
        <f>""&amp;A7&amp;" måneds kalender for: "&amp;Stamoplysninger!E8&amp;". Måneden vedr. normperioden: "&amp;Stamoplysninger!E11&amp;" - "&amp;Stamoplysninger!G11&amp;"."</f>
        <v>December måneds kalender for: . Måneden vedr. normperioden:  - .</v>
      </c>
      <c r="B5" s="935"/>
      <c r="C5" s="935"/>
      <c r="D5" s="935"/>
      <c r="E5" s="935"/>
      <c r="F5" s="935"/>
      <c r="G5" s="935"/>
      <c r="H5" s="935"/>
      <c r="I5" s="935"/>
      <c r="J5" s="935"/>
      <c r="K5" s="935"/>
      <c r="L5" s="935"/>
      <c r="M5" s="935"/>
      <c r="N5" s="935"/>
      <c r="O5" s="935"/>
      <c r="P5" s="935"/>
      <c r="Q5" s="935"/>
      <c r="R5" s="935"/>
      <c r="S5" s="928" t="s">
        <v>312</v>
      </c>
      <c r="T5" s="929"/>
      <c r="U5" s="929"/>
      <c r="V5" s="929"/>
      <c r="W5" s="929"/>
      <c r="X5" s="930"/>
      <c r="Y5" s="251"/>
      <c r="Z5" s="94"/>
      <c r="AB5" s="94"/>
      <c r="AC5" s="94"/>
      <c r="AH5" s="94"/>
      <c r="AI5" s="94"/>
      <c r="CX5" s="253"/>
      <c r="CZ5"/>
    </row>
    <row r="6" spans="1:118" ht="47" customHeight="1">
      <c r="A6" s="346">
        <f>August!A7</f>
        <v>2023</v>
      </c>
      <c r="B6" s="246"/>
      <c r="C6" s="247"/>
      <c r="D6" s="248"/>
      <c r="E6" s="941" t="s">
        <v>516</v>
      </c>
      <c r="F6" s="942"/>
      <c r="G6" s="943"/>
      <c r="H6" s="343" t="s">
        <v>344</v>
      </c>
      <c r="I6" s="912" t="s">
        <v>510</v>
      </c>
      <c r="J6" s="939" t="s">
        <v>535</v>
      </c>
      <c r="K6" s="936" t="s">
        <v>309</v>
      </c>
      <c r="L6" s="937"/>
      <c r="M6" s="344" t="s">
        <v>310</v>
      </c>
      <c r="N6" s="912" t="s">
        <v>478</v>
      </c>
      <c r="O6" s="912" t="s">
        <v>314</v>
      </c>
      <c r="P6" s="912" t="s">
        <v>498</v>
      </c>
      <c r="Q6" s="912" t="s">
        <v>413</v>
      </c>
      <c r="R6" s="919" t="s">
        <v>580</v>
      </c>
      <c r="S6" s="913" t="s">
        <v>311</v>
      </c>
      <c r="T6" s="914"/>
      <c r="U6" s="914"/>
      <c r="V6" s="914"/>
      <c r="W6" s="914"/>
      <c r="X6" s="915"/>
      <c r="Y6" s="216"/>
      <c r="Z6" s="216"/>
      <c r="AA6" s="909" t="s">
        <v>264</v>
      </c>
      <c r="AB6" s="909"/>
      <c r="AC6" s="909"/>
      <c r="AD6" s="909"/>
      <c r="AE6" s="909"/>
      <c r="AF6" s="213"/>
      <c r="AG6" s="909" t="s">
        <v>225</v>
      </c>
      <c r="AH6" s="909"/>
      <c r="AI6" s="909"/>
      <c r="AJ6" s="909"/>
      <c r="AK6" s="909"/>
      <c r="AL6" s="909" t="s">
        <v>226</v>
      </c>
      <c r="AM6" s="909"/>
      <c r="AN6" s="909"/>
      <c r="AO6" s="909"/>
      <c r="AP6" s="909"/>
      <c r="AQ6" s="909" t="s">
        <v>227</v>
      </c>
      <c r="AR6" s="909"/>
      <c r="AS6" s="909"/>
      <c r="AT6" s="909"/>
      <c r="AU6" s="909"/>
      <c r="AV6" s="909" t="s">
        <v>228</v>
      </c>
      <c r="AW6" s="909"/>
      <c r="AX6" s="909"/>
      <c r="AY6" s="909"/>
      <c r="AZ6" s="909"/>
      <c r="BA6" s="314"/>
      <c r="BB6" s="213"/>
      <c r="BC6" s="909" t="s">
        <v>267</v>
      </c>
      <c r="BD6" s="909"/>
      <c r="BE6" s="909"/>
      <c r="BF6" s="909"/>
      <c r="BG6" s="909" t="s">
        <v>230</v>
      </c>
      <c r="BH6" s="909"/>
      <c r="BI6" s="909"/>
      <c r="BJ6" s="909"/>
      <c r="BK6" s="909"/>
      <c r="BL6" s="909" t="s">
        <v>231</v>
      </c>
      <c r="BM6" s="909"/>
      <c r="BN6" s="909"/>
      <c r="BO6" s="909"/>
      <c r="BP6" s="909"/>
      <c r="BQ6" s="909" t="s">
        <v>232</v>
      </c>
      <c r="BR6" s="909"/>
      <c r="BS6" s="909"/>
      <c r="BT6" s="909"/>
      <c r="BU6" s="909"/>
      <c r="BV6" s="909" t="s">
        <v>233</v>
      </c>
      <c r="BW6" s="909"/>
      <c r="BX6" s="909"/>
      <c r="BY6" s="909"/>
      <c r="BZ6" s="909"/>
      <c r="CD6" s="909" t="s">
        <v>268</v>
      </c>
      <c r="CE6" s="909"/>
      <c r="CF6" s="909"/>
      <c r="CG6" s="909"/>
      <c r="CH6" s="909"/>
      <c r="CI6" s="909" t="s">
        <v>270</v>
      </c>
      <c r="CJ6" s="909"/>
      <c r="CK6" s="909"/>
      <c r="CL6" s="909"/>
      <c r="CM6" s="909"/>
      <c r="CN6" s="909" t="s">
        <v>269</v>
      </c>
      <c r="CO6" s="909"/>
      <c r="CP6" s="909"/>
      <c r="CQ6" s="909"/>
      <c r="CR6" s="909"/>
      <c r="CS6" s="909" t="s">
        <v>271</v>
      </c>
      <c r="CT6" s="909"/>
      <c r="CU6" s="909"/>
      <c r="CV6" s="909"/>
      <c r="CW6" s="909"/>
      <c r="CX6" s="253"/>
      <c r="CZ6"/>
      <c r="DA6" s="682" t="s">
        <v>215</v>
      </c>
      <c r="DB6" s="682"/>
      <c r="DC6" s="682"/>
      <c r="DD6" s="682"/>
      <c r="DE6" s="682"/>
    </row>
    <row r="7" spans="1:118" ht="142" customHeight="1">
      <c r="A7" s="828" t="s">
        <v>285</v>
      </c>
      <c r="B7" s="829"/>
      <c r="C7" s="829"/>
      <c r="D7" s="830"/>
      <c r="E7" s="944"/>
      <c r="F7" s="945"/>
      <c r="G7" s="946"/>
      <c r="H7" s="910" t="s">
        <v>534</v>
      </c>
      <c r="I7" s="938"/>
      <c r="J7" s="940"/>
      <c r="K7" s="345" t="s">
        <v>581</v>
      </c>
      <c r="L7" s="345" t="s">
        <v>582</v>
      </c>
      <c r="M7" s="345" t="s">
        <v>583</v>
      </c>
      <c r="N7" s="911"/>
      <c r="O7" s="911"/>
      <c r="P7" s="911"/>
      <c r="Q7" s="911"/>
      <c r="R7" s="920"/>
      <c r="S7" s="539" t="s">
        <v>508</v>
      </c>
      <c r="T7" s="344" t="s">
        <v>313</v>
      </c>
      <c r="U7" s="344" t="s">
        <v>428</v>
      </c>
      <c r="V7" s="475" t="s">
        <v>470</v>
      </c>
      <c r="W7" s="475" t="s">
        <v>469</v>
      </c>
      <c r="X7" s="476" t="s">
        <v>425</v>
      </c>
      <c r="Y7" s="216" t="s">
        <v>282</v>
      </c>
      <c r="Z7" s="216" t="s">
        <v>283</v>
      </c>
      <c r="AA7" s="316" t="s">
        <v>214</v>
      </c>
      <c r="AB7" t="s">
        <v>137</v>
      </c>
      <c r="AC7" t="s">
        <v>140</v>
      </c>
      <c r="AD7" t="s">
        <v>139</v>
      </c>
      <c r="AE7" t="s">
        <v>138</v>
      </c>
      <c r="AF7" t="s">
        <v>444</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266</v>
      </c>
      <c r="BD7" t="s">
        <v>265</v>
      </c>
      <c r="BE7" t="s">
        <v>251</v>
      </c>
      <c r="BF7" t="s">
        <v>252</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254</v>
      </c>
      <c r="CC7" s="316" t="s">
        <v>255</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280</v>
      </c>
      <c r="CY7" s="253" t="s">
        <v>272</v>
      </c>
      <c r="CZ7" s="253" t="s">
        <v>273</v>
      </c>
      <c r="DA7" s="253" t="s">
        <v>274</v>
      </c>
      <c r="DB7" s="253" t="s">
        <v>275</v>
      </c>
      <c r="DC7" s="253" t="s">
        <v>276</v>
      </c>
      <c r="DD7" s="253" t="s">
        <v>277</v>
      </c>
      <c r="DE7" s="253" t="s">
        <v>278</v>
      </c>
      <c r="DF7" s="253" t="s">
        <v>279</v>
      </c>
      <c r="DG7" s="253"/>
    </row>
    <row r="8" spans="1:118" ht="20" customHeight="1">
      <c r="A8" s="831"/>
      <c r="B8" s="832"/>
      <c r="C8" s="832"/>
      <c r="D8" s="833"/>
      <c r="E8" s="947"/>
      <c r="F8" s="948"/>
      <c r="G8" s="949"/>
      <c r="H8" s="911"/>
      <c r="I8" s="931" t="s">
        <v>409</v>
      </c>
      <c r="J8" s="918"/>
      <c r="K8" s="931" t="s">
        <v>346</v>
      </c>
      <c r="L8" s="917"/>
      <c r="M8" s="917"/>
      <c r="N8" s="917"/>
      <c r="O8" s="917"/>
      <c r="P8" s="917"/>
      <c r="Q8" s="917"/>
      <c r="R8" s="917"/>
      <c r="S8" s="916" t="s">
        <v>409</v>
      </c>
      <c r="T8" s="917"/>
      <c r="U8" s="918"/>
      <c r="V8" s="931" t="s">
        <v>410</v>
      </c>
      <c r="W8" s="917"/>
      <c r="X8" s="932"/>
      <c r="Y8" s="216"/>
      <c r="Z8" s="216"/>
      <c r="AA8" s="316"/>
      <c r="BB8" s="232"/>
      <c r="CA8" s="116"/>
      <c r="CB8" s="238"/>
      <c r="CC8" s="316"/>
      <c r="CX8" s="253"/>
      <c r="DA8" s="253"/>
      <c r="DB8" s="253"/>
      <c r="DC8" s="253"/>
      <c r="DD8" s="253"/>
      <c r="DE8" s="253"/>
      <c r="DF8" s="253"/>
      <c r="DG8" s="253"/>
      <c r="DH8" t="s">
        <v>543</v>
      </c>
      <c r="DI8" t="s">
        <v>544</v>
      </c>
      <c r="DJ8" t="s">
        <v>545</v>
      </c>
    </row>
    <row r="9" spans="1:118">
      <c r="A9" s="249">
        <f>IF(ISNUMBER(A7),A7+1,1)</f>
        <v>1</v>
      </c>
      <c r="B9" s="132" t="str">
        <f t="shared" ref="B9:B39" si="0">CHOOSE(MOD(WEEKDAY(DATE(A$6,A$2,A9)),7)+1,"lø","sø","ma","ti","on","to","fr",)</f>
        <v>fr</v>
      </c>
      <c r="C9" s="133" t="s">
        <v>209</v>
      </c>
      <c r="D9" s="134" t="str">
        <f t="shared" ref="D9:D39" si="1">IF(B9="ma",(DATE(A$6,A$2,A9)-DATE(A$6,1,1)+7)/7,"")</f>
        <v/>
      </c>
      <c r="E9" s="871"/>
      <c r="F9" s="872"/>
      <c r="G9" s="873"/>
      <c r="H9" s="313"/>
      <c r="I9" s="582"/>
      <c r="J9" s="440"/>
      <c r="K9" s="405"/>
      <c r="L9" s="405"/>
      <c r="M9" s="405"/>
      <c r="N9" s="334">
        <f>BA9</f>
        <v>0</v>
      </c>
      <c r="O9" s="334">
        <f>CA9</f>
        <v>0</v>
      </c>
      <c r="P9" s="334">
        <f>IF(Stamoplysninger!$H$29="JA",December!DG9,CX9)</f>
        <v>0</v>
      </c>
      <c r="Q9" s="334">
        <f>IF(OR(C9="Lejrskole",C9="Ekskursion"),0,N9-O9-P9)</f>
        <v>0</v>
      </c>
      <c r="R9" s="335"/>
      <c r="S9" s="341"/>
      <c r="T9" s="342"/>
      <c r="U9" s="342"/>
      <c r="V9" s="336"/>
      <c r="W9" s="472"/>
      <c r="X9" s="337"/>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f>IF(AND(C9="Skema 1",B9="fr"),Arbejdstidsoversigt!$E$48,"")</f>
        <v>0</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9" si="8">SUM(AG9:AK9)*24</f>
        <v>0</v>
      </c>
      <c r="BC9" s="1">
        <f>IF($C$9="Lejrskole",$L$9,0)</f>
        <v>0</v>
      </c>
      <c r="BD9" s="1">
        <f t="shared" ref="BD9:BD39" si="9">IF(C9="Ekskursion",L9,0)</f>
        <v>0</v>
      </c>
      <c r="BE9" s="1">
        <f t="shared" ref="BE9:BE39" si="10">IF(C9="fagdag",L9,0)</f>
        <v>0</v>
      </c>
      <c r="BF9" s="1">
        <f t="shared" ref="BF9:BF39" si="11">IF(C9="emnedag",L9,0)</f>
        <v>0</v>
      </c>
      <c r="BG9" s="214" t="str">
        <f>IF(AND($C$9="Skema 1",$B$9="ma"),Skemaoplysninger!E30,"")</f>
        <v/>
      </c>
      <c r="BH9" s="214" t="str">
        <f>IF(AND(C9="Skema 1",B9="ti"),Skemaoplysninger!$F$30,"")</f>
        <v/>
      </c>
      <c r="BI9" s="214" t="str">
        <f>IF(AND(C9="Skema 1",B9="on"),Skemaoplysninger!$G$30,"")</f>
        <v/>
      </c>
      <c r="BJ9" s="214" t="str">
        <f>IF(AND(C9="Skema 1",B9="to"),Skemaoplysninger!$H$30,"")</f>
        <v/>
      </c>
      <c r="BK9" s="214">
        <f>IF(AND(C9="Skema 1",B9="fr"),Skemaoplysninger!$I$30,"")</f>
        <v>0</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9" si="12">IF(C9="fagdag",M9,0)</f>
        <v>0</v>
      </c>
      <c r="CC9" s="1">
        <f t="shared" ref="CC9:CC39" si="13">IF(C9="emnedag",M9,0)</f>
        <v>0</v>
      </c>
      <c r="CD9" s="214" t="str">
        <f>IF(AND(C9="Skema 1",B9="ma"),Skemaoplysninger!$E$39,"")</f>
        <v/>
      </c>
      <c r="CE9" s="214" t="str">
        <f>IF(AND(C9="Skema 1",B9="ti"),Skemaoplysninger!$F$39,"")</f>
        <v/>
      </c>
      <c r="CF9" s="214" t="str">
        <f>IF(AND(C9="Skema 1",B9="on"),Skemaoplysninger!$G$39,"")</f>
        <v/>
      </c>
      <c r="CG9" s="214" t="str">
        <f>IF(AND(C9="Skema 1",B9="to"),Skemaoplysninger!$H$39,"")</f>
        <v/>
      </c>
      <c r="CH9" s="214">
        <f>IF(AND(C9="Skema 1",B9="fr"),Skemaoplysninger!$I$39,"")</f>
        <v>0</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8" si="14">IF(DH9=0,"",DH9)</f>
        <v/>
      </c>
      <c r="DL9" t="str">
        <f>IF(DI9=0,"",DI9)</f>
        <v/>
      </c>
      <c r="DM9" t="str">
        <f>IF(DJ9=0,"",DJ9)</f>
        <v/>
      </c>
      <c r="DN9" t="str">
        <f>DK9&amp;""&amp;DL9&amp;""&amp;DM9</f>
        <v/>
      </c>
    </row>
    <row r="10" spans="1:118">
      <c r="A10" s="249">
        <f t="shared" ref="A10:A38" si="15">IF(ISNUMBER(A9),A9+1,1)</f>
        <v>2</v>
      </c>
      <c r="B10" s="132" t="str">
        <f t="shared" si="0"/>
        <v>lø</v>
      </c>
      <c r="C10" s="133" t="s">
        <v>121</v>
      </c>
      <c r="D10" s="134" t="str">
        <f t="shared" si="1"/>
        <v/>
      </c>
      <c r="E10" s="871"/>
      <c r="F10" s="872"/>
      <c r="G10" s="873"/>
      <c r="H10" s="313"/>
      <c r="I10" s="440"/>
      <c r="J10" s="440"/>
      <c r="K10" s="405"/>
      <c r="L10" s="405"/>
      <c r="M10" s="405"/>
      <c r="N10" s="334">
        <f t="shared" ref="N10:N39" si="16">BA10</f>
        <v>0</v>
      </c>
      <c r="O10" s="334">
        <f t="shared" ref="O10:O39" si="17">CA10</f>
        <v>0</v>
      </c>
      <c r="P10" s="334">
        <f>IF(Stamoplysninger!$H$29="JA",December!DG10,CX10)</f>
        <v>0</v>
      </c>
      <c r="Q10" s="334">
        <f t="shared" ref="Q10:Q39" si="18">IF(OR(C10="Lejrskole",C10="Ekskursion"),0,N10-O10-P10)</f>
        <v>0</v>
      </c>
      <c r="R10" s="335"/>
      <c r="S10" s="341"/>
      <c r="T10" s="342"/>
      <c r="U10" s="342"/>
      <c r="V10" s="336"/>
      <c r="W10" s="472"/>
      <c r="X10" s="337"/>
      <c r="Y10">
        <f t="shared" ref="Y10:Y39" si="19">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1",B10="ma"),Arbejdstidsoversigt!$E$44,"")</f>
        <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9" si="20">SUM(AA10:AZ10)</f>
        <v>0</v>
      </c>
      <c r="BB10" s="233">
        <f t="shared" si="8"/>
        <v>0</v>
      </c>
      <c r="BC10" s="1">
        <f t="shared" ref="BC10:BC39" si="21">IF(C10="Lejrskole",L10,0)</f>
        <v>0</v>
      </c>
      <c r="BD10" s="1">
        <f t="shared" si="9"/>
        <v>0</v>
      </c>
      <c r="BE10" s="1">
        <f t="shared" si="10"/>
        <v>0</v>
      </c>
      <c r="BF10" s="1">
        <f t="shared" si="11"/>
        <v>0</v>
      </c>
      <c r="BG10" s="214" t="str">
        <f>IF(AND(C10="Skema 1",B10="ma"),Skemaoplysninger!$E$30,"")</f>
        <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9" si="22">SUM(BG10:BZ10)*24+SUM(BC10:BF10)</f>
        <v>0</v>
      </c>
      <c r="CB10" s="1">
        <f t="shared" si="12"/>
        <v>0</v>
      </c>
      <c r="CC10" s="1">
        <f t="shared" si="13"/>
        <v>0</v>
      </c>
      <c r="CD10" s="214" t="str">
        <f>IF(AND(C10="Skema 1",B10="ma"),Skemaoplysninger!$E$39,"")</f>
        <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9" si="23">SUM(CY10:DF10)</f>
        <v>0</v>
      </c>
      <c r="DH10" t="str">
        <f t="shared" ref="DH10:DH38" si="24">IF(AND(E10&gt;0,H10&gt;0),""&amp;E10&amp;" og "&amp;H10&amp;"","")</f>
        <v/>
      </c>
      <c r="DI10">
        <f t="shared" ref="DI10:DI38" si="25">IF(H10="",E10,"")</f>
        <v>0</v>
      </c>
      <c r="DJ10">
        <f t="shared" ref="DJ10:DJ38" si="26">IF(E10="",H10,"")</f>
        <v>0</v>
      </c>
      <c r="DK10" t="str">
        <f t="shared" si="14"/>
        <v/>
      </c>
      <c r="DL10" t="str">
        <f t="shared" si="14"/>
        <v/>
      </c>
      <c r="DM10" t="str">
        <f t="shared" si="14"/>
        <v/>
      </c>
      <c r="DN10" t="str">
        <f t="shared" ref="DN10:DN38" si="27">DK10&amp;""&amp;DL10&amp;""&amp;DM10</f>
        <v/>
      </c>
    </row>
    <row r="11" spans="1:118">
      <c r="A11" s="249">
        <f t="shared" si="15"/>
        <v>3</v>
      </c>
      <c r="B11" s="132" t="str">
        <f t="shared" si="0"/>
        <v>sø</v>
      </c>
      <c r="C11" s="133" t="s">
        <v>121</v>
      </c>
      <c r="D11" s="134" t="str">
        <f t="shared" si="1"/>
        <v/>
      </c>
      <c r="E11" s="871"/>
      <c r="F11" s="872"/>
      <c r="G11" s="873"/>
      <c r="H11" s="313"/>
      <c r="I11" s="440"/>
      <c r="J11" s="440"/>
      <c r="K11" s="405"/>
      <c r="L11" s="405"/>
      <c r="M11" s="405"/>
      <c r="N11" s="334">
        <f t="shared" si="16"/>
        <v>0</v>
      </c>
      <c r="O11" s="334">
        <f t="shared" si="17"/>
        <v>0</v>
      </c>
      <c r="P11" s="334">
        <f>IF(Stamoplysninger!$H$29="JA",December!DG11,CX11)</f>
        <v>0</v>
      </c>
      <c r="Q11" s="334">
        <f t="shared" si="18"/>
        <v>0</v>
      </c>
      <c r="R11" s="335"/>
      <c r="S11" s="341"/>
      <c r="T11" s="342"/>
      <c r="U11" s="342"/>
      <c r="V11" s="336"/>
      <c r="W11" s="472"/>
      <c r="X11" s="337"/>
      <c r="Y11">
        <f t="shared" si="19"/>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8"/>
        <v>0</v>
      </c>
      <c r="BC11" s="1">
        <f t="shared" si="21"/>
        <v>0</v>
      </c>
      <c r="BD11" s="1">
        <f t="shared" si="9"/>
        <v>0</v>
      </c>
      <c r="BE11" s="1">
        <f t="shared" si="10"/>
        <v>0</v>
      </c>
      <c r="BF11" s="1">
        <f t="shared" si="11"/>
        <v>0</v>
      </c>
      <c r="BG11" s="214" t="str">
        <f>IF(AND(C11="Skema 1",B11="ma"),Skemaoplysninger!$E$30,"")</f>
        <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2"/>
        <v>0</v>
      </c>
      <c r="CC11" s="1">
        <f t="shared" si="13"/>
        <v>0</v>
      </c>
      <c r="CD11" s="214" t="str">
        <f>IF(AND(C11="Skema 1",B11="ma"),Skemaoplysninger!$E$39,"")</f>
        <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4"/>
        <v/>
      </c>
      <c r="DL11" t="str">
        <f t="shared" si="14"/>
        <v/>
      </c>
      <c r="DM11" t="str">
        <f t="shared" si="14"/>
        <v/>
      </c>
      <c r="DN11" t="str">
        <f t="shared" si="27"/>
        <v/>
      </c>
    </row>
    <row r="12" spans="1:118">
      <c r="A12" s="249">
        <f t="shared" si="15"/>
        <v>4</v>
      </c>
      <c r="B12" s="132" t="str">
        <f t="shared" si="0"/>
        <v>ma</v>
      </c>
      <c r="C12" s="133" t="s">
        <v>209</v>
      </c>
      <c r="D12" s="134">
        <f t="shared" si="1"/>
        <v>49.142857142857146</v>
      </c>
      <c r="E12" s="871"/>
      <c r="F12" s="872"/>
      <c r="G12" s="873"/>
      <c r="H12" s="313"/>
      <c r="I12" s="582"/>
      <c r="J12" s="440"/>
      <c r="K12" s="405"/>
      <c r="L12" s="405"/>
      <c r="M12" s="405"/>
      <c r="N12" s="334">
        <f t="shared" si="16"/>
        <v>0</v>
      </c>
      <c r="O12" s="334">
        <f t="shared" si="17"/>
        <v>0</v>
      </c>
      <c r="P12" s="334">
        <f>IF(Stamoplysninger!$H$29="JA",December!DG12,CX12)</f>
        <v>0</v>
      </c>
      <c r="Q12" s="334">
        <f t="shared" si="18"/>
        <v>0</v>
      </c>
      <c r="R12" s="335"/>
      <c r="S12" s="341"/>
      <c r="T12" s="342"/>
      <c r="U12" s="342"/>
      <c r="V12" s="336"/>
      <c r="W12" s="472"/>
      <c r="X12" s="337"/>
      <c r="Y12">
        <f t="shared" si="19"/>
        <v>0</v>
      </c>
      <c r="Z12">
        <f t="shared" si="2"/>
        <v>0</v>
      </c>
      <c r="AA12" s="1">
        <f t="shared" si="3"/>
        <v>0</v>
      </c>
      <c r="AB12" s="1">
        <f t="shared" si="4"/>
        <v>0</v>
      </c>
      <c r="AC12" s="1">
        <f t="shared" si="5"/>
        <v>0</v>
      </c>
      <c r="AD12" s="1">
        <f t="shared" si="6"/>
        <v>0</v>
      </c>
      <c r="AE12" s="1">
        <f t="shared" si="7"/>
        <v>0</v>
      </c>
      <c r="AF12" s="1">
        <f>IF(C12="Orlov",7.4*Stamoplysninger!$E$15,0)</f>
        <v>0</v>
      </c>
      <c r="AG12">
        <f>IF(AND(C12="Skema 1",B12="ma"),Arbejdstidsoversigt!$E$44,"")</f>
        <v>0</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8"/>
        <v>0</v>
      </c>
      <c r="BC12" s="1">
        <f t="shared" si="21"/>
        <v>0</v>
      </c>
      <c r="BD12" s="1">
        <f t="shared" si="9"/>
        <v>0</v>
      </c>
      <c r="BE12" s="1">
        <f t="shared" si="10"/>
        <v>0</v>
      </c>
      <c r="BF12" s="1">
        <f t="shared" si="11"/>
        <v>0</v>
      </c>
      <c r="BG12" s="214">
        <f>IF(AND(C12="Skema 1",B12="ma"),Skemaoplysninger!$E$30,"")</f>
        <v>0</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2"/>
        <v>0</v>
      </c>
      <c r="CC12" s="1">
        <f t="shared" si="13"/>
        <v>0</v>
      </c>
      <c r="CD12" s="214">
        <f>IF(AND(C12="Skema 1",B12="ma"),Skemaoplysninger!$E$39,"")</f>
        <v>0</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4"/>
        <v/>
      </c>
      <c r="DL12" t="str">
        <f t="shared" si="14"/>
        <v/>
      </c>
      <c r="DM12" t="str">
        <f t="shared" si="14"/>
        <v/>
      </c>
      <c r="DN12" t="str">
        <f t="shared" si="27"/>
        <v/>
      </c>
    </row>
    <row r="13" spans="1:118">
      <c r="A13" s="249">
        <f t="shared" si="15"/>
        <v>5</v>
      </c>
      <c r="B13" s="132" t="str">
        <f t="shared" si="0"/>
        <v>ti</v>
      </c>
      <c r="C13" s="133" t="s">
        <v>209</v>
      </c>
      <c r="D13" s="134" t="str">
        <f t="shared" si="1"/>
        <v/>
      </c>
      <c r="E13" s="871"/>
      <c r="F13" s="872"/>
      <c r="G13" s="873"/>
      <c r="H13" s="313"/>
      <c r="I13" s="582"/>
      <c r="J13" s="440"/>
      <c r="K13" s="405"/>
      <c r="L13" s="405"/>
      <c r="M13" s="405"/>
      <c r="N13" s="334">
        <f t="shared" si="16"/>
        <v>0</v>
      </c>
      <c r="O13" s="334">
        <f t="shared" si="17"/>
        <v>0</v>
      </c>
      <c r="P13" s="334">
        <f>IF(Stamoplysninger!$H$29="JA",December!DG13,CX13)</f>
        <v>0</v>
      </c>
      <c r="Q13" s="334">
        <f t="shared" si="18"/>
        <v>0</v>
      </c>
      <c r="R13" s="335"/>
      <c r="S13" s="341"/>
      <c r="T13" s="342"/>
      <c r="U13" s="342"/>
      <c r="V13" s="336"/>
      <c r="W13" s="472"/>
      <c r="X13" s="337"/>
      <c r="Y13">
        <f t="shared" si="19"/>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1",B13="ma"),Arbejdstidsoversigt!$E$44,"")</f>
        <v/>
      </c>
      <c r="AH13">
        <f>IF(AND(C13="Skema 1",B13="ti"),Arbejdstidsoversigt!$E$45,"")</f>
        <v>0</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0</v>
      </c>
      <c r="BB13" s="233">
        <f t="shared" si="8"/>
        <v>0</v>
      </c>
      <c r="BC13" s="1">
        <f t="shared" si="21"/>
        <v>0</v>
      </c>
      <c r="BD13" s="1">
        <f t="shared" si="9"/>
        <v>0</v>
      </c>
      <c r="BE13" s="1">
        <f t="shared" si="10"/>
        <v>0</v>
      </c>
      <c r="BF13" s="1">
        <f t="shared" si="11"/>
        <v>0</v>
      </c>
      <c r="BG13" s="214" t="str">
        <f>IF(AND(C13="Skema 1",B13="ma"),Skemaoplysninger!$E$30,"")</f>
        <v/>
      </c>
      <c r="BH13" s="214">
        <f>IF(AND(C13="Skema 1",B13="ti"),Skemaoplysninger!$F$30,"")</f>
        <v>0</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2"/>
        <v>0</v>
      </c>
      <c r="CC13" s="1">
        <f t="shared" si="13"/>
        <v>0</v>
      </c>
      <c r="CD13" s="214" t="str">
        <f>IF(AND(C13="Skema 1",B13="ma"),Skemaoplysninger!$E$39,"")</f>
        <v/>
      </c>
      <c r="CE13" s="214">
        <f>IF(AND(C13="Skema 1",B13="ti"),Skemaoplysninger!$F$39,"")</f>
        <v>0</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4"/>
        <v/>
      </c>
      <c r="DL13" t="str">
        <f t="shared" si="14"/>
        <v/>
      </c>
      <c r="DM13" t="str">
        <f t="shared" si="14"/>
        <v/>
      </c>
      <c r="DN13" t="str">
        <f t="shared" si="27"/>
        <v/>
      </c>
    </row>
    <row r="14" spans="1:118" ht="16" customHeight="1">
      <c r="A14" s="249">
        <f t="shared" si="15"/>
        <v>6</v>
      </c>
      <c r="B14" s="132" t="str">
        <f t="shared" si="0"/>
        <v>on</v>
      </c>
      <c r="C14" s="133" t="s">
        <v>209</v>
      </c>
      <c r="D14" s="134" t="str">
        <f t="shared" si="1"/>
        <v/>
      </c>
      <c r="E14" s="871"/>
      <c r="F14" s="872"/>
      <c r="G14" s="873"/>
      <c r="H14" s="313"/>
      <c r="I14" s="582"/>
      <c r="J14" s="440"/>
      <c r="K14" s="405"/>
      <c r="L14" s="405"/>
      <c r="M14" s="405"/>
      <c r="N14" s="334">
        <f t="shared" si="16"/>
        <v>0</v>
      </c>
      <c r="O14" s="334">
        <f t="shared" si="17"/>
        <v>0</v>
      </c>
      <c r="P14" s="334">
        <f>IF(Stamoplysninger!$H$29="JA",December!DG14,CX14)</f>
        <v>0</v>
      </c>
      <c r="Q14" s="334">
        <f t="shared" si="18"/>
        <v>0</v>
      </c>
      <c r="R14" s="335"/>
      <c r="S14" s="341"/>
      <c r="T14" s="342"/>
      <c r="U14" s="342"/>
      <c r="V14" s="336"/>
      <c r="W14" s="472"/>
      <c r="X14" s="337"/>
      <c r="Y14">
        <f t="shared" si="19"/>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1",B14="ma"),Arbejdstidsoversigt!$E$44,"")</f>
        <v/>
      </c>
      <c r="AH14" t="str">
        <f>IF(AND(C14="Skema 1",B14="ti"),Arbejdstidsoversigt!$E$45,"")</f>
        <v/>
      </c>
      <c r="AI14">
        <f>IF(AND(C14="Skema 1",B14="on"),Arbejdstidsoversigt!$E$46,"")</f>
        <v>0</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0</v>
      </c>
      <c r="BB14" s="233">
        <f t="shared" si="8"/>
        <v>0</v>
      </c>
      <c r="BC14" s="1">
        <f t="shared" si="21"/>
        <v>0</v>
      </c>
      <c r="BD14" s="1">
        <f t="shared" si="9"/>
        <v>0</v>
      </c>
      <c r="BE14" s="1">
        <f t="shared" si="10"/>
        <v>0</v>
      </c>
      <c r="BF14" s="1">
        <f t="shared" si="11"/>
        <v>0</v>
      </c>
      <c r="BG14" s="214" t="str">
        <f>IF(AND(C14="Skema 1",B14="ma"),Skemaoplysninger!$E$30,"")</f>
        <v/>
      </c>
      <c r="BH14" s="214" t="str">
        <f>IF(AND(C14="Skema 1",B14="ti"),Skemaoplysninger!$F$30,"")</f>
        <v/>
      </c>
      <c r="BI14" s="214">
        <f>IF(AND(C14="Skema 1",B14="on"),Skemaoplysninger!$G$30,"")</f>
        <v>0</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2"/>
        <v>0</v>
      </c>
      <c r="CC14" s="1">
        <f t="shared" si="13"/>
        <v>0</v>
      </c>
      <c r="CD14" s="214" t="str">
        <f>IF(AND(C14="Skema 1",B14="ma"),Skemaoplysninger!$E$39,"")</f>
        <v/>
      </c>
      <c r="CE14" s="214" t="str">
        <f>IF(AND(C14="Skema 1",B14="ti"),Skemaoplysninger!$F$39,"")</f>
        <v/>
      </c>
      <c r="CF14" s="214">
        <f>IF(AND(C14="Skema 1",B14="on"),Skemaoplysninger!$G$39,"")</f>
        <v>0</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4"/>
        <v/>
      </c>
      <c r="DL14" t="str">
        <f t="shared" si="14"/>
        <v/>
      </c>
      <c r="DM14" t="str">
        <f t="shared" si="14"/>
        <v/>
      </c>
      <c r="DN14" t="str">
        <f t="shared" si="27"/>
        <v/>
      </c>
    </row>
    <row r="15" spans="1:118" ht="16" customHeight="1">
      <c r="A15" s="249">
        <f t="shared" si="15"/>
        <v>7</v>
      </c>
      <c r="B15" s="132" t="str">
        <f t="shared" si="0"/>
        <v>to</v>
      </c>
      <c r="C15" s="133" t="s">
        <v>209</v>
      </c>
      <c r="D15" s="134" t="str">
        <f t="shared" si="1"/>
        <v/>
      </c>
      <c r="E15" s="871"/>
      <c r="F15" s="872"/>
      <c r="G15" s="873"/>
      <c r="H15" s="313"/>
      <c r="I15" s="582"/>
      <c r="J15" s="440"/>
      <c r="K15" s="405"/>
      <c r="L15" s="405"/>
      <c r="M15" s="405"/>
      <c r="N15" s="334">
        <f t="shared" si="16"/>
        <v>0</v>
      </c>
      <c r="O15" s="334">
        <f t="shared" si="17"/>
        <v>0</v>
      </c>
      <c r="P15" s="334">
        <f>IF(Stamoplysninger!$H$29="JA",December!DG15,CX15)</f>
        <v>0</v>
      </c>
      <c r="Q15" s="334">
        <f t="shared" si="18"/>
        <v>0</v>
      </c>
      <c r="R15" s="335"/>
      <c r="S15" s="341"/>
      <c r="T15" s="342"/>
      <c r="U15" s="342"/>
      <c r="V15" s="336"/>
      <c r="W15" s="472"/>
      <c r="X15" s="337"/>
      <c r="Y15">
        <f t="shared" si="19"/>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1",B15="ma"),Arbejdstidsoversigt!$E$44,"")</f>
        <v/>
      </c>
      <c r="AH15" t="str">
        <f>IF(AND(C15="Skema 1",B15="ti"),Arbejdstidsoversigt!$E$45,"")</f>
        <v/>
      </c>
      <c r="AI15" t="str">
        <f>IF(AND(C15="Skema 1",B15="on"),Arbejdstidsoversigt!$E$46,"")</f>
        <v/>
      </c>
      <c r="AJ15">
        <f>IF(AND(C15="Skema 1",B15="to"),Arbejdstidsoversigt!$E$47,"")</f>
        <v>0</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8"/>
        <v>0</v>
      </c>
      <c r="BC15" s="1">
        <f t="shared" si="21"/>
        <v>0</v>
      </c>
      <c r="BD15" s="1">
        <f t="shared" si="9"/>
        <v>0</v>
      </c>
      <c r="BE15" s="1">
        <f t="shared" si="10"/>
        <v>0</v>
      </c>
      <c r="BF15" s="1">
        <f t="shared" si="11"/>
        <v>0</v>
      </c>
      <c r="BG15" s="214" t="str">
        <f>IF(AND(C15="Skema 1",B15="ma"),Skemaoplysninger!$E$30,"")</f>
        <v/>
      </c>
      <c r="BH15" s="214" t="str">
        <f>IF(AND(C15="Skema 1",B15="ti"),Skemaoplysninger!$F$30,"")</f>
        <v/>
      </c>
      <c r="BI15" s="214" t="str">
        <f>IF(AND(C15="Skema 1",B15="on"),Skemaoplysninger!$G$30,"")</f>
        <v/>
      </c>
      <c r="BJ15" s="214">
        <f>IF(AND(C15="Skema 1",B15="to"),Skemaoplysninger!$H$30,"")</f>
        <v>0</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2"/>
        <v>0</v>
      </c>
      <c r="CC15" s="1">
        <f t="shared" si="13"/>
        <v>0</v>
      </c>
      <c r="CD15" s="214" t="str">
        <f>IF(AND(C15="Skema 1",B15="ma"),Skemaoplysninger!$E$39,"")</f>
        <v/>
      </c>
      <c r="CE15" s="214" t="str">
        <f>IF(AND(C15="Skema 1",B15="ti"),Skemaoplysninger!$F$39,"")</f>
        <v/>
      </c>
      <c r="CF15" s="214" t="str">
        <f>IF(AND(C15="Skema 1",B15="on"),Skemaoplysninger!$G$39,"")</f>
        <v/>
      </c>
      <c r="CG15" s="214">
        <f>IF(AND(C15="Skema 1",B15="to"),Skemaoplysninger!$H$39,"")</f>
        <v>0</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4"/>
        <v/>
      </c>
      <c r="DL15" t="str">
        <f t="shared" si="14"/>
        <v/>
      </c>
      <c r="DM15" t="str">
        <f t="shared" si="14"/>
        <v/>
      </c>
      <c r="DN15" t="str">
        <f t="shared" si="27"/>
        <v/>
      </c>
    </row>
    <row r="16" spans="1:118">
      <c r="A16" s="249">
        <f t="shared" si="15"/>
        <v>8</v>
      </c>
      <c r="B16" s="132" t="str">
        <f t="shared" si="0"/>
        <v>fr</v>
      </c>
      <c r="C16" s="133" t="s">
        <v>209</v>
      </c>
      <c r="D16" s="134" t="str">
        <f t="shared" si="1"/>
        <v/>
      </c>
      <c r="E16" s="871"/>
      <c r="F16" s="872"/>
      <c r="G16" s="873"/>
      <c r="H16" s="313"/>
      <c r="I16" s="582"/>
      <c r="J16" s="440"/>
      <c r="K16" s="405"/>
      <c r="L16" s="405"/>
      <c r="M16" s="405"/>
      <c r="N16" s="334">
        <f t="shared" si="16"/>
        <v>0</v>
      </c>
      <c r="O16" s="334">
        <f t="shared" si="17"/>
        <v>0</v>
      </c>
      <c r="P16" s="334">
        <f>IF(Stamoplysninger!$H$29="JA",December!DG16,CX16)</f>
        <v>0</v>
      </c>
      <c r="Q16" s="334">
        <f t="shared" si="18"/>
        <v>0</v>
      </c>
      <c r="R16" s="335"/>
      <c r="S16" s="341"/>
      <c r="T16" s="342"/>
      <c r="U16" s="342"/>
      <c r="V16" s="336"/>
      <c r="W16" s="472"/>
      <c r="X16" s="337"/>
      <c r="Y16">
        <f t="shared" si="19"/>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1",B16="ma"),Arbejdstidsoversigt!$E$44,"")</f>
        <v/>
      </c>
      <c r="AH16" t="str">
        <f>IF(AND(C16="Skema 1",B16="ti"),Arbejdstidsoversigt!$E$45,"")</f>
        <v/>
      </c>
      <c r="AI16" t="str">
        <f>IF(AND(C16="Skema 1",B16="on"),Arbejdstidsoversigt!$E$46,"")</f>
        <v/>
      </c>
      <c r="AJ16" t="str">
        <f>IF(AND(C16="Skema 1",B16="to"),Arbejdstidsoversigt!$E$47,"")</f>
        <v/>
      </c>
      <c r="AK16">
        <f>IF(AND(C16="Skema 1",B16="fr"),Arbejdstidsoversigt!$E$48,"")</f>
        <v>0</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0</v>
      </c>
      <c r="BB16" s="233">
        <f t="shared" si="8"/>
        <v>0</v>
      </c>
      <c r="BC16" s="1">
        <f t="shared" si="21"/>
        <v>0</v>
      </c>
      <c r="BD16" s="1">
        <f t="shared" si="9"/>
        <v>0</v>
      </c>
      <c r="BE16" s="1">
        <f t="shared" si="10"/>
        <v>0</v>
      </c>
      <c r="BF16" s="1">
        <f t="shared" si="11"/>
        <v>0</v>
      </c>
      <c r="BG16" s="214" t="str">
        <f>IF(AND(C16="Skema 1",B16="ma"),Skemaoplysninger!$E$30,"")</f>
        <v/>
      </c>
      <c r="BH16" s="214" t="str">
        <f>IF(AND(C16="Skema 1",B16="ti"),Skemaoplysninger!$F$30,"")</f>
        <v/>
      </c>
      <c r="BI16" s="214" t="str">
        <f>IF(AND(C16="Skema 1",B16="on"),Skemaoplysninger!$G$30,"")</f>
        <v/>
      </c>
      <c r="BJ16" s="214" t="str">
        <f>IF(AND(C16="Skema 1",B16="to"),Skemaoplysninger!$H$30,"")</f>
        <v/>
      </c>
      <c r="BK16" s="214">
        <f>IF(AND(C16="Skema 1",B16="fr"),Skemaoplysninger!$I$30,"")</f>
        <v>0</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2"/>
        <v>0</v>
      </c>
      <c r="CC16" s="1">
        <f t="shared" si="13"/>
        <v>0</v>
      </c>
      <c r="CD16" s="214" t="str">
        <f>IF(AND(C16="Skema 1",B16="ma"),Skemaoplysninger!$E$39,"")</f>
        <v/>
      </c>
      <c r="CE16" s="214" t="str">
        <f>IF(AND(C16="Skema 1",B16="ti"),Skemaoplysninger!$F$39,"")</f>
        <v/>
      </c>
      <c r="CF16" s="214" t="str">
        <f>IF(AND(C16="Skema 1",B16="on"),Skemaoplysninger!$G$39,"")</f>
        <v/>
      </c>
      <c r="CG16" s="214" t="str">
        <f>IF(AND(C16="Skema 1",B16="to"),Skemaoplysninger!$H$39,"")</f>
        <v/>
      </c>
      <c r="CH16" s="214">
        <f>IF(AND(C16="Skema 1",B16="fr"),Skemaoplysninger!$I$39,"")</f>
        <v>0</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4"/>
        <v/>
      </c>
      <c r="DL16" t="str">
        <f t="shared" si="14"/>
        <v/>
      </c>
      <c r="DM16" t="str">
        <f t="shared" si="14"/>
        <v/>
      </c>
      <c r="DN16" t="str">
        <f t="shared" si="27"/>
        <v/>
      </c>
    </row>
    <row r="17" spans="1:118">
      <c r="A17" s="249">
        <f t="shared" si="15"/>
        <v>9</v>
      </c>
      <c r="B17" s="132" t="str">
        <f t="shared" si="0"/>
        <v>lø</v>
      </c>
      <c r="C17" s="133" t="s">
        <v>121</v>
      </c>
      <c r="D17" s="134" t="str">
        <f t="shared" si="1"/>
        <v/>
      </c>
      <c r="E17" s="871"/>
      <c r="F17" s="872"/>
      <c r="G17" s="873"/>
      <c r="H17" s="313"/>
      <c r="I17" s="440"/>
      <c r="J17" s="440"/>
      <c r="K17" s="405"/>
      <c r="L17" s="405"/>
      <c r="M17" s="405"/>
      <c r="N17" s="334">
        <f t="shared" si="16"/>
        <v>0</v>
      </c>
      <c r="O17" s="334">
        <f t="shared" si="17"/>
        <v>0</v>
      </c>
      <c r="P17" s="334">
        <f>IF(Stamoplysninger!$H$29="JA",December!DG17,CX17)</f>
        <v>0</v>
      </c>
      <c r="Q17" s="334">
        <f t="shared" si="18"/>
        <v>0</v>
      </c>
      <c r="R17" s="335"/>
      <c r="S17" s="341"/>
      <c r="T17" s="342"/>
      <c r="U17" s="342"/>
      <c r="V17" s="336"/>
      <c r="W17" s="472"/>
      <c r="X17" s="337"/>
      <c r="Y17">
        <f t="shared" si="19"/>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1",B17="ma"),Arbejdstidsoversigt!$E$44,"")</f>
        <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8"/>
        <v>0</v>
      </c>
      <c r="BC17" s="1">
        <f t="shared" si="21"/>
        <v>0</v>
      </c>
      <c r="BD17" s="1">
        <f t="shared" si="9"/>
        <v>0</v>
      </c>
      <c r="BE17" s="1">
        <f t="shared" si="10"/>
        <v>0</v>
      </c>
      <c r="BF17" s="1">
        <f t="shared" si="11"/>
        <v>0</v>
      </c>
      <c r="BG17" s="214" t="str">
        <f>IF(AND(C17="Skema 1",B17="ma"),Skemaoplysninger!$E$30,"")</f>
        <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2"/>
        <v>0</v>
      </c>
      <c r="CC17" s="1">
        <f t="shared" si="13"/>
        <v>0</v>
      </c>
      <c r="CD17" s="214" t="str">
        <f>IF(AND(C17="Skema 1",B17="ma"),Skemaoplysninger!$E$39,"")</f>
        <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4"/>
        <v/>
      </c>
      <c r="DL17" t="str">
        <f t="shared" si="14"/>
        <v/>
      </c>
      <c r="DM17" t="str">
        <f t="shared" si="14"/>
        <v/>
      </c>
      <c r="DN17" t="str">
        <f t="shared" si="27"/>
        <v/>
      </c>
    </row>
    <row r="18" spans="1:118">
      <c r="A18" s="249">
        <f t="shared" si="15"/>
        <v>10</v>
      </c>
      <c r="B18" s="132" t="str">
        <f t="shared" si="0"/>
        <v>sø</v>
      </c>
      <c r="C18" s="133" t="s">
        <v>121</v>
      </c>
      <c r="D18" s="134" t="str">
        <f t="shared" si="1"/>
        <v/>
      </c>
      <c r="E18" s="871"/>
      <c r="F18" s="872"/>
      <c r="G18" s="873"/>
      <c r="H18" s="313"/>
      <c r="I18" s="440"/>
      <c r="J18" s="440"/>
      <c r="K18" s="405"/>
      <c r="L18" s="405"/>
      <c r="M18" s="405"/>
      <c r="N18" s="334">
        <f t="shared" si="16"/>
        <v>0</v>
      </c>
      <c r="O18" s="334">
        <f t="shared" si="17"/>
        <v>0</v>
      </c>
      <c r="P18" s="334">
        <f>IF(Stamoplysninger!$H$29="JA",December!DG18,CX18)</f>
        <v>0</v>
      </c>
      <c r="Q18" s="334">
        <f t="shared" si="18"/>
        <v>0</v>
      </c>
      <c r="R18" s="335"/>
      <c r="S18" s="341"/>
      <c r="T18" s="342"/>
      <c r="U18" s="342"/>
      <c r="V18" s="336"/>
      <c r="W18" s="472"/>
      <c r="X18" s="337"/>
      <c r="Y18">
        <f t="shared" si="19"/>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1",B18="ma"),Arbejdstidsoversigt!$E$44,"")</f>
        <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8"/>
        <v>0</v>
      </c>
      <c r="BC18" s="1">
        <f t="shared" si="21"/>
        <v>0</v>
      </c>
      <c r="BD18" s="1">
        <f t="shared" si="9"/>
        <v>0</v>
      </c>
      <c r="BE18" s="1">
        <f t="shared" si="10"/>
        <v>0</v>
      </c>
      <c r="BF18" s="1">
        <f t="shared" si="11"/>
        <v>0</v>
      </c>
      <c r="BG18" s="214" t="str">
        <f>IF(AND(C18="Skema 1",B18="ma"),Skemaoplysninger!$E$30,"")</f>
        <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2"/>
        <v>0</v>
      </c>
      <c r="CC18" s="1">
        <f t="shared" si="13"/>
        <v>0</v>
      </c>
      <c r="CD18" s="214" t="str">
        <f>IF(AND(C18="Skema 1",B18="ma"),Skemaoplysninger!$E$39,"")</f>
        <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4"/>
        <v/>
      </c>
      <c r="DL18" t="str">
        <f t="shared" si="14"/>
        <v/>
      </c>
      <c r="DM18" t="str">
        <f t="shared" si="14"/>
        <v/>
      </c>
      <c r="DN18" t="str">
        <f t="shared" si="27"/>
        <v/>
      </c>
    </row>
    <row r="19" spans="1:118">
      <c r="A19" s="249">
        <f t="shared" si="15"/>
        <v>11</v>
      </c>
      <c r="B19" s="132" t="str">
        <f t="shared" si="0"/>
        <v>ma</v>
      </c>
      <c r="C19" s="133" t="s">
        <v>209</v>
      </c>
      <c r="D19" s="134">
        <f t="shared" si="1"/>
        <v>50.142857142857146</v>
      </c>
      <c r="E19" s="871"/>
      <c r="F19" s="872"/>
      <c r="G19" s="873"/>
      <c r="H19" s="313"/>
      <c r="I19" s="582"/>
      <c r="J19" s="440"/>
      <c r="K19" s="405"/>
      <c r="L19" s="405"/>
      <c r="M19" s="405"/>
      <c r="N19" s="334">
        <f t="shared" si="16"/>
        <v>0</v>
      </c>
      <c r="O19" s="334">
        <f t="shared" si="17"/>
        <v>0</v>
      </c>
      <c r="P19" s="334">
        <f>IF(Stamoplysninger!$H$29="JA",December!DG19,CX19)</f>
        <v>0</v>
      </c>
      <c r="Q19" s="334">
        <f t="shared" si="18"/>
        <v>0</v>
      </c>
      <c r="R19" s="335"/>
      <c r="S19" s="341"/>
      <c r="T19" s="342"/>
      <c r="U19" s="342"/>
      <c r="V19" s="336"/>
      <c r="W19" s="472"/>
      <c r="X19" s="337"/>
      <c r="Y19">
        <f t="shared" si="19"/>
        <v>0</v>
      </c>
      <c r="Z19">
        <f t="shared" si="2"/>
        <v>0</v>
      </c>
      <c r="AA19" s="1">
        <f t="shared" si="3"/>
        <v>0</v>
      </c>
      <c r="AB19" s="1">
        <f t="shared" si="4"/>
        <v>0</v>
      </c>
      <c r="AC19" s="1">
        <f t="shared" si="5"/>
        <v>0</v>
      </c>
      <c r="AD19" s="1">
        <f t="shared" si="6"/>
        <v>0</v>
      </c>
      <c r="AE19" s="1">
        <f t="shared" si="7"/>
        <v>0</v>
      </c>
      <c r="AF19" s="1">
        <f>IF(C19="Orlov",7.4*Stamoplysninger!$E$15,0)</f>
        <v>0</v>
      </c>
      <c r="AG19">
        <f>IF(AND(C19="Skema 1",B19="ma"),Arbejdstidsoversigt!$E$44,"")</f>
        <v>0</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8"/>
        <v>0</v>
      </c>
      <c r="BC19" s="1">
        <f t="shared" si="21"/>
        <v>0</v>
      </c>
      <c r="BD19" s="1">
        <f t="shared" si="9"/>
        <v>0</v>
      </c>
      <c r="BE19" s="1">
        <f t="shared" si="10"/>
        <v>0</v>
      </c>
      <c r="BF19" s="1">
        <f t="shared" si="11"/>
        <v>0</v>
      </c>
      <c r="BG19" s="214">
        <f>IF(AND(C19="Skema 1",B19="ma"),Skemaoplysninger!$E$30,"")</f>
        <v>0</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2"/>
        <v>0</v>
      </c>
      <c r="CC19" s="1">
        <f t="shared" si="13"/>
        <v>0</v>
      </c>
      <c r="CD19" s="214">
        <f>IF(AND(C19="Skema 1",B19="ma"),Skemaoplysninger!$E$39,"")</f>
        <v>0</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4"/>
        <v/>
      </c>
      <c r="DL19" t="str">
        <f t="shared" si="14"/>
        <v/>
      </c>
      <c r="DM19" t="str">
        <f t="shared" si="14"/>
        <v/>
      </c>
      <c r="DN19" t="str">
        <f t="shared" si="27"/>
        <v/>
      </c>
    </row>
    <row r="20" spans="1:118">
      <c r="A20" s="249">
        <f>IF(ISNUMBER(A19),A19+1,1)</f>
        <v>12</v>
      </c>
      <c r="B20" s="132" t="str">
        <f t="shared" si="0"/>
        <v>ti</v>
      </c>
      <c r="C20" s="133" t="s">
        <v>209</v>
      </c>
      <c r="D20" s="134" t="str">
        <f t="shared" si="1"/>
        <v/>
      </c>
      <c r="E20" s="871"/>
      <c r="F20" s="872"/>
      <c r="G20" s="873"/>
      <c r="H20" s="313"/>
      <c r="I20" s="582"/>
      <c r="J20" s="440"/>
      <c r="K20" s="405"/>
      <c r="L20" s="405"/>
      <c r="M20" s="405"/>
      <c r="N20" s="334">
        <f t="shared" si="16"/>
        <v>0</v>
      </c>
      <c r="O20" s="334">
        <f t="shared" si="17"/>
        <v>0</v>
      </c>
      <c r="P20" s="334">
        <f>IF(Stamoplysninger!$H$29="JA",December!DG20,CX20)</f>
        <v>0</v>
      </c>
      <c r="Q20" s="334">
        <f t="shared" si="18"/>
        <v>0</v>
      </c>
      <c r="R20" s="335"/>
      <c r="S20" s="341"/>
      <c r="T20" s="342"/>
      <c r="U20" s="342"/>
      <c r="V20" s="336"/>
      <c r="W20" s="472"/>
      <c r="X20" s="337"/>
      <c r="Y20">
        <f t="shared" si="19"/>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1",B20="ma"),Arbejdstidsoversigt!$E$44,"")</f>
        <v/>
      </c>
      <c r="AH20">
        <f>IF(AND(C20="Skema 1",B20="ti"),Arbejdstidsoversigt!$E$45,"")</f>
        <v>0</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8"/>
        <v>0</v>
      </c>
      <c r="BC20" s="1">
        <f t="shared" si="21"/>
        <v>0</v>
      </c>
      <c r="BD20" s="1">
        <f t="shared" si="9"/>
        <v>0</v>
      </c>
      <c r="BE20" s="1">
        <f t="shared" si="10"/>
        <v>0</v>
      </c>
      <c r="BF20" s="1">
        <f t="shared" si="11"/>
        <v>0</v>
      </c>
      <c r="BG20" s="214" t="str">
        <f>IF(AND(C20="Skema 1",B20="ma"),Skemaoplysninger!$E$30,"")</f>
        <v/>
      </c>
      <c r="BH20" s="214">
        <f>IF(AND(C20="Skema 1",B20="ti"),Skemaoplysninger!$F$30,"")</f>
        <v>0</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2"/>
        <v>0</v>
      </c>
      <c r="CC20" s="1">
        <f t="shared" si="13"/>
        <v>0</v>
      </c>
      <c r="CD20" s="214" t="str">
        <f>IF(AND(C20="Skema 1",B20="ma"),Skemaoplysninger!$E$39,"")</f>
        <v/>
      </c>
      <c r="CE20" s="214">
        <f>IF(AND(C20="Skema 1",B20="ti"),Skemaoplysninger!$F$39,"")</f>
        <v>0</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f t="shared" si="25"/>
        <v>0</v>
      </c>
      <c r="DJ20">
        <f t="shared" si="26"/>
        <v>0</v>
      </c>
      <c r="DK20" t="str">
        <f t="shared" si="14"/>
        <v/>
      </c>
      <c r="DL20" t="str">
        <f t="shared" si="14"/>
        <v/>
      </c>
      <c r="DM20" t="str">
        <f t="shared" si="14"/>
        <v/>
      </c>
      <c r="DN20" t="str">
        <f t="shared" si="27"/>
        <v/>
      </c>
    </row>
    <row r="21" spans="1:118">
      <c r="A21" s="249">
        <f>IF(ISNUMBER(A20),A20+1,1)</f>
        <v>13</v>
      </c>
      <c r="B21" s="132" t="str">
        <f t="shared" si="0"/>
        <v>on</v>
      </c>
      <c r="C21" s="133" t="s">
        <v>209</v>
      </c>
      <c r="D21" s="134" t="str">
        <f t="shared" si="1"/>
        <v/>
      </c>
      <c r="E21" s="868"/>
      <c r="F21" s="869"/>
      <c r="G21" s="870"/>
      <c r="H21" s="312"/>
      <c r="I21" s="582"/>
      <c r="J21" s="440"/>
      <c r="K21" s="405"/>
      <c r="L21" s="405"/>
      <c r="M21" s="405"/>
      <c r="N21" s="334">
        <f t="shared" si="16"/>
        <v>0</v>
      </c>
      <c r="O21" s="334">
        <f t="shared" si="17"/>
        <v>0</v>
      </c>
      <c r="P21" s="334">
        <f>IF(Stamoplysninger!$H$29="JA",December!DG21,CX21)</f>
        <v>0</v>
      </c>
      <c r="Q21" s="334">
        <f t="shared" si="18"/>
        <v>0</v>
      </c>
      <c r="R21" s="335"/>
      <c r="S21" s="341"/>
      <c r="T21" s="342"/>
      <c r="U21" s="342"/>
      <c r="V21" s="336"/>
      <c r="W21" s="472"/>
      <c r="X21" s="337"/>
      <c r="Y21">
        <f t="shared" si="19"/>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1",B21="ma"),Arbejdstidsoversigt!$E$44,"")</f>
        <v/>
      </c>
      <c r="AH21" t="str">
        <f>IF(AND(C21="Skema 1",B21="ti"),Arbejdstidsoversigt!$E$45,"")</f>
        <v/>
      </c>
      <c r="AI21">
        <f>IF(AND(C21="Skema 1",B21="on"),Arbejdstidsoversigt!$E$46,"")</f>
        <v>0</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8"/>
        <v>0</v>
      </c>
      <c r="BC21" s="1">
        <f t="shared" si="21"/>
        <v>0</v>
      </c>
      <c r="BD21" s="1">
        <f t="shared" si="9"/>
        <v>0</v>
      </c>
      <c r="BE21" s="1">
        <f t="shared" si="10"/>
        <v>0</v>
      </c>
      <c r="BF21" s="1">
        <f t="shared" si="11"/>
        <v>0</v>
      </c>
      <c r="BG21" s="214" t="str">
        <f>IF(AND(C21="Skema 1",B21="ma"),Skemaoplysninger!$E$30,"")</f>
        <v/>
      </c>
      <c r="BH21" s="214" t="str">
        <f>IF(AND(C21="Skema 1",B21="ti"),Skemaoplysninger!$F$30,"")</f>
        <v/>
      </c>
      <c r="BI21" s="214">
        <f>IF(AND(C21="Skema 1",B21="on"),Skemaoplysninger!$G$30,"")</f>
        <v>0</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2"/>
        <v>0</v>
      </c>
      <c r="CC21" s="1">
        <f t="shared" si="13"/>
        <v>0</v>
      </c>
      <c r="CD21" s="214" t="str">
        <f>IF(AND(C21="Skema 1",B21="ma"),Skemaoplysninger!$E$39,"")</f>
        <v/>
      </c>
      <c r="CE21" s="214" t="str">
        <f>IF(AND(C21="Skema 1",B21="ti"),Skemaoplysninger!$F$39,"")</f>
        <v/>
      </c>
      <c r="CF21" s="214">
        <f>IF(AND(C21="Skema 1",B21="on"),Skemaoplysninger!$G$39,"")</f>
        <v>0</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4"/>
        <v/>
      </c>
      <c r="DL21" t="str">
        <f t="shared" si="14"/>
        <v/>
      </c>
      <c r="DM21" t="str">
        <f t="shared" si="14"/>
        <v/>
      </c>
      <c r="DN21" t="str">
        <f t="shared" si="27"/>
        <v/>
      </c>
    </row>
    <row r="22" spans="1:118">
      <c r="A22" s="249">
        <f t="shared" si="15"/>
        <v>14</v>
      </c>
      <c r="B22" s="132" t="str">
        <f t="shared" si="0"/>
        <v>to</v>
      </c>
      <c r="C22" s="133" t="s">
        <v>209</v>
      </c>
      <c r="D22" s="134" t="str">
        <f t="shared" si="1"/>
        <v/>
      </c>
      <c r="E22" s="868"/>
      <c r="F22" s="869"/>
      <c r="G22" s="870"/>
      <c r="H22" s="312"/>
      <c r="I22" s="582"/>
      <c r="J22" s="440"/>
      <c r="K22" s="405"/>
      <c r="L22" s="405"/>
      <c r="M22" s="405"/>
      <c r="N22" s="334">
        <f t="shared" si="16"/>
        <v>0</v>
      </c>
      <c r="O22" s="334">
        <f t="shared" si="17"/>
        <v>0</v>
      </c>
      <c r="P22" s="334">
        <f>IF(Stamoplysninger!$H$29="JA",December!DG22,CX22)</f>
        <v>0</v>
      </c>
      <c r="Q22" s="334">
        <f t="shared" si="18"/>
        <v>0</v>
      </c>
      <c r="R22" s="335"/>
      <c r="S22" s="341"/>
      <c r="T22" s="342"/>
      <c r="U22" s="342"/>
      <c r="V22" s="336"/>
      <c r="W22" s="472"/>
      <c r="X22" s="337"/>
      <c r="Y22">
        <f t="shared" si="19"/>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1",B22="ma"),Arbejdstidsoversigt!$E$44,"")</f>
        <v/>
      </c>
      <c r="AH22" t="str">
        <f>IF(AND(C22="Skema 1",B22="ti"),Arbejdstidsoversigt!$E$45,"")</f>
        <v/>
      </c>
      <c r="AI22" t="str">
        <f>IF(AND(C22="Skema 1",B22="on"),Arbejdstidsoversigt!$E$46,"")</f>
        <v/>
      </c>
      <c r="AJ22">
        <f>IF(AND(C22="Skema 1",B22="to"),Arbejdstidsoversigt!$E$47,"")</f>
        <v>0</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8"/>
        <v>0</v>
      </c>
      <c r="BC22" s="1">
        <f t="shared" si="21"/>
        <v>0</v>
      </c>
      <c r="BD22" s="1">
        <f t="shared" si="9"/>
        <v>0</v>
      </c>
      <c r="BE22" s="1">
        <f t="shared" si="10"/>
        <v>0</v>
      </c>
      <c r="BF22" s="1">
        <f t="shared" si="11"/>
        <v>0</v>
      </c>
      <c r="BG22" s="214" t="str">
        <f>IF(AND(C22="Skema 1",B22="ma"),Skemaoplysninger!$E$30,"")</f>
        <v/>
      </c>
      <c r="BH22" s="214" t="str">
        <f>IF(AND(C22="Skema 1",B22="ti"),Skemaoplysninger!$F$30,"")</f>
        <v/>
      </c>
      <c r="BI22" s="214" t="str">
        <f>IF(AND(C22="Skema 1",B22="on"),Skemaoplysninger!$G$30,"")</f>
        <v/>
      </c>
      <c r="BJ22" s="214">
        <f>IF(AND(C22="Skema 1",B22="to"),Skemaoplysninger!$H$30,"")</f>
        <v>0</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2"/>
        <v>0</v>
      </c>
      <c r="CC22" s="1">
        <f t="shared" si="13"/>
        <v>0</v>
      </c>
      <c r="CD22" s="214" t="str">
        <f>IF(AND(C22="Skema 1",B22="ma"),Skemaoplysninger!$E$39,"")</f>
        <v/>
      </c>
      <c r="CE22" s="214" t="str">
        <f>IF(AND(C22="Skema 1",B22="ti"),Skemaoplysninger!$F$39,"")</f>
        <v/>
      </c>
      <c r="CF22" s="214" t="str">
        <f>IF(AND(C22="Skema 1",B22="on"),Skemaoplysninger!$G$39,"")</f>
        <v/>
      </c>
      <c r="CG22" s="214">
        <f>IF(AND(C22="Skema 1",B22="to"),Skemaoplysninger!$H$39,"")</f>
        <v>0</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4"/>
        <v/>
      </c>
      <c r="DL22" t="str">
        <f t="shared" si="14"/>
        <v/>
      </c>
      <c r="DM22" t="str">
        <f t="shared" si="14"/>
        <v/>
      </c>
      <c r="DN22" t="str">
        <f t="shared" si="27"/>
        <v/>
      </c>
    </row>
    <row r="23" spans="1:118">
      <c r="A23" s="249">
        <f t="shared" si="15"/>
        <v>15</v>
      </c>
      <c r="B23" s="132" t="str">
        <f t="shared" si="0"/>
        <v>fr</v>
      </c>
      <c r="C23" s="133" t="s">
        <v>209</v>
      </c>
      <c r="D23" s="134" t="str">
        <f t="shared" si="1"/>
        <v/>
      </c>
      <c r="E23" s="868"/>
      <c r="F23" s="869"/>
      <c r="G23" s="870"/>
      <c r="H23" s="312"/>
      <c r="I23" s="582"/>
      <c r="J23" s="440"/>
      <c r="K23" s="405"/>
      <c r="L23" s="405"/>
      <c r="M23" s="405"/>
      <c r="N23" s="334">
        <f t="shared" si="16"/>
        <v>0</v>
      </c>
      <c r="O23" s="334">
        <f t="shared" si="17"/>
        <v>0</v>
      </c>
      <c r="P23" s="334">
        <f>IF(Stamoplysninger!$H$29="JA",December!DG23,CX23)</f>
        <v>0</v>
      </c>
      <c r="Q23" s="334">
        <f t="shared" si="18"/>
        <v>0</v>
      </c>
      <c r="R23" s="335"/>
      <c r="S23" s="341"/>
      <c r="T23" s="342"/>
      <c r="U23" s="342"/>
      <c r="V23" s="336"/>
      <c r="W23" s="472"/>
      <c r="X23" s="337"/>
      <c r="Y23">
        <f t="shared" si="19"/>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1",B23="ma"),Arbejdstidsoversigt!$E$44,"")</f>
        <v/>
      </c>
      <c r="AH23" t="str">
        <f>IF(AND(C23="Skema 1",B23="ti"),Arbejdstidsoversigt!$E$45,"")</f>
        <v/>
      </c>
      <c r="AI23" t="str">
        <f>IF(AND(C23="Skema 1",B23="on"),Arbejdstidsoversigt!$E$46,"")</f>
        <v/>
      </c>
      <c r="AJ23" t="str">
        <f>IF(AND(C23="Skema 1",B23="to"),Arbejdstidsoversigt!$E$47,"")</f>
        <v/>
      </c>
      <c r="AK23">
        <f>IF(AND(C23="Skema 1",B23="fr"),Arbejdstidsoversigt!$E$48,"")</f>
        <v>0</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8"/>
        <v>0</v>
      </c>
      <c r="BC23" s="1">
        <f t="shared" si="21"/>
        <v>0</v>
      </c>
      <c r="BD23" s="1">
        <f t="shared" si="9"/>
        <v>0</v>
      </c>
      <c r="BE23" s="1">
        <f t="shared" si="10"/>
        <v>0</v>
      </c>
      <c r="BF23" s="1">
        <f t="shared" si="11"/>
        <v>0</v>
      </c>
      <c r="BG23" s="214" t="str">
        <f>IF(AND(C23="Skema 1",B23="ma"),Skemaoplysninger!$E$30,"")</f>
        <v/>
      </c>
      <c r="BH23" s="214" t="str">
        <f>IF(AND(C23="Skema 1",B23="ti"),Skemaoplysninger!$F$30,"")</f>
        <v/>
      </c>
      <c r="BI23" s="214" t="str">
        <f>IF(AND(C23="Skema 1",B23="on"),Skemaoplysninger!$G$30,"")</f>
        <v/>
      </c>
      <c r="BJ23" s="214" t="str">
        <f>IF(AND(C23="Skema 1",B23="to"),Skemaoplysninger!$H$30,"")</f>
        <v/>
      </c>
      <c r="BK23" s="214">
        <f>IF(AND(C23="Skema 1",B23="fr"),Skemaoplysninger!$I$30,"")</f>
        <v>0</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2"/>
        <v>0</v>
      </c>
      <c r="CC23" s="1">
        <f t="shared" si="13"/>
        <v>0</v>
      </c>
      <c r="CD23" s="214" t="str">
        <f>IF(AND(C23="Skema 1",B23="ma"),Skemaoplysninger!$E$39,"")</f>
        <v/>
      </c>
      <c r="CE23" s="214" t="str">
        <f>IF(AND(C23="Skema 1",B23="ti"),Skemaoplysninger!$F$39,"")</f>
        <v/>
      </c>
      <c r="CF23" s="214" t="str">
        <f>IF(AND(C23="Skema 1",B23="on"),Skemaoplysninger!$G$39,"")</f>
        <v/>
      </c>
      <c r="CG23" s="214" t="str">
        <f>IF(AND(C23="Skema 1",B23="to"),Skemaoplysninger!$H$39,"")</f>
        <v/>
      </c>
      <c r="CH23" s="214">
        <f>IF(AND(C23="Skema 1",B23="fr"),Skemaoplysninger!$I$39,"")</f>
        <v>0</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4"/>
        <v/>
      </c>
      <c r="DL23" t="str">
        <f t="shared" si="14"/>
        <v/>
      </c>
      <c r="DM23" t="str">
        <f t="shared" si="14"/>
        <v/>
      </c>
      <c r="DN23" t="str">
        <f t="shared" si="27"/>
        <v/>
      </c>
    </row>
    <row r="24" spans="1:118">
      <c r="A24" s="249">
        <f>IF(ISNUMBER(A23),A23+1,1)</f>
        <v>16</v>
      </c>
      <c r="B24" s="132" t="str">
        <f t="shared" si="0"/>
        <v>lø</v>
      </c>
      <c r="C24" s="133" t="s">
        <v>121</v>
      </c>
      <c r="D24" s="134" t="str">
        <f t="shared" si="1"/>
        <v/>
      </c>
      <c r="E24" s="871"/>
      <c r="F24" s="872"/>
      <c r="G24" s="873"/>
      <c r="H24" s="313"/>
      <c r="I24" s="440"/>
      <c r="J24" s="440"/>
      <c r="K24" s="405"/>
      <c r="L24" s="405"/>
      <c r="M24" s="405"/>
      <c r="N24" s="334">
        <f t="shared" si="16"/>
        <v>0</v>
      </c>
      <c r="O24" s="334">
        <f t="shared" si="17"/>
        <v>0</v>
      </c>
      <c r="P24" s="334">
        <f>IF(Stamoplysninger!$H$29="JA",December!DG24,CX24)</f>
        <v>0</v>
      </c>
      <c r="Q24" s="334">
        <f t="shared" si="18"/>
        <v>0</v>
      </c>
      <c r="R24" s="335"/>
      <c r="S24" s="341"/>
      <c r="T24" s="342"/>
      <c r="U24" s="342"/>
      <c r="V24" s="336"/>
      <c r="W24" s="472"/>
      <c r="X24" s="337"/>
      <c r="Y24">
        <f t="shared" si="19"/>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1",B24="ma"),Arbejdstidsoversigt!$E$44,"")</f>
        <v/>
      </c>
      <c r="AH24" t="str">
        <f>IF(AND(C24="Skema 1",B24="ti"),Arbejdstidsoversigt!$E$45,"")</f>
        <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8"/>
        <v>0</v>
      </c>
      <c r="BC24" s="1">
        <f t="shared" si="21"/>
        <v>0</v>
      </c>
      <c r="BD24" s="1">
        <f t="shared" si="9"/>
        <v>0</v>
      </c>
      <c r="BE24" s="1">
        <f t="shared" si="10"/>
        <v>0</v>
      </c>
      <c r="BF24" s="1">
        <f t="shared" si="11"/>
        <v>0</v>
      </c>
      <c r="BG24" s="214" t="str">
        <f>IF(AND(C24="Skema 1",B24="ma"),Skemaoplysninger!$E$30,"")</f>
        <v/>
      </c>
      <c r="BH24" s="214" t="str">
        <f>IF(AND(C24="Skema 1",B24="ti"),Skemaoplysninger!$F$30,"")</f>
        <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2"/>
        <v>0</v>
      </c>
      <c r="CC24" s="1">
        <f t="shared" si="13"/>
        <v>0</v>
      </c>
      <c r="CD24" s="214" t="str">
        <f>IF(AND(C24="Skema 1",B24="ma"),Skemaoplysninger!$E$39,"")</f>
        <v/>
      </c>
      <c r="CE24" s="214" t="str">
        <f>IF(AND(C24="Skema 1",B24="ti"),Skemaoplysninger!$F$39,"")</f>
        <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f t="shared" si="25"/>
        <v>0</v>
      </c>
      <c r="DJ24">
        <f t="shared" si="26"/>
        <v>0</v>
      </c>
      <c r="DK24" t="str">
        <f t="shared" si="14"/>
        <v/>
      </c>
      <c r="DL24" t="str">
        <f t="shared" si="14"/>
        <v/>
      </c>
      <c r="DM24" t="str">
        <f t="shared" si="14"/>
        <v/>
      </c>
      <c r="DN24" t="str">
        <f t="shared" si="27"/>
        <v/>
      </c>
    </row>
    <row r="25" spans="1:118">
      <c r="A25" s="249">
        <f t="shared" si="15"/>
        <v>17</v>
      </c>
      <c r="B25" s="132" t="str">
        <f t="shared" si="0"/>
        <v>sø</v>
      </c>
      <c r="C25" s="133" t="s">
        <v>121</v>
      </c>
      <c r="D25" s="134" t="str">
        <f t="shared" si="1"/>
        <v/>
      </c>
      <c r="E25" s="871"/>
      <c r="F25" s="872"/>
      <c r="G25" s="873"/>
      <c r="H25" s="313"/>
      <c r="I25" s="440"/>
      <c r="J25" s="440"/>
      <c r="K25" s="405"/>
      <c r="L25" s="405"/>
      <c r="M25" s="405"/>
      <c r="N25" s="334">
        <f t="shared" si="16"/>
        <v>0</v>
      </c>
      <c r="O25" s="334">
        <f t="shared" si="17"/>
        <v>0</v>
      </c>
      <c r="P25" s="334">
        <f>IF(Stamoplysninger!$H$29="JA",December!DG25,CX25)</f>
        <v>0</v>
      </c>
      <c r="Q25" s="334">
        <f t="shared" si="18"/>
        <v>0</v>
      </c>
      <c r="R25" s="335"/>
      <c r="S25" s="341"/>
      <c r="T25" s="342"/>
      <c r="U25" s="342"/>
      <c r="V25" s="336"/>
      <c r="W25" s="472"/>
      <c r="X25" s="337"/>
      <c r="Y25">
        <f t="shared" si="19"/>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8"/>
        <v>0</v>
      </c>
      <c r="BC25" s="1">
        <f t="shared" si="21"/>
        <v>0</v>
      </c>
      <c r="BD25" s="1">
        <f t="shared" si="9"/>
        <v>0</v>
      </c>
      <c r="BE25" s="1">
        <f t="shared" si="10"/>
        <v>0</v>
      </c>
      <c r="BF25" s="1">
        <f t="shared" si="11"/>
        <v>0</v>
      </c>
      <c r="BG25" s="214" t="str">
        <f>IF(AND(C25="Skema 1",B25="ma"),Skemaoplysninger!$E$30,"")</f>
        <v/>
      </c>
      <c r="BH25" s="214" t="str">
        <f>IF(AND(C25="Skema 1",B25="ti"),Skemaoplysninger!$F$30,"")</f>
        <v/>
      </c>
      <c r="BI25" s="214" t="str">
        <f>IF(AND(C25="Skema 1",B25="on"),Skemaoplysninger!$G$30,"")</f>
        <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2"/>
        <v>0</v>
      </c>
      <c r="CC25" s="1">
        <f t="shared" si="13"/>
        <v>0</v>
      </c>
      <c r="CD25" s="214" t="str">
        <f>IF(AND(C25="Skema 1",B25="ma"),Skemaoplysninger!$E$39,"")</f>
        <v/>
      </c>
      <c r="CE25" s="214" t="str">
        <f>IF(AND(C25="Skema 1",B25="ti"),Skemaoplysninger!$F$39,"")</f>
        <v/>
      </c>
      <c r="CF25" s="214" t="str">
        <f>IF(AND(C25="Skema 1",B25="on"),Skemaoplysninger!$G$39,"")</f>
        <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4"/>
        <v/>
      </c>
      <c r="DL25" t="str">
        <f t="shared" si="14"/>
        <v/>
      </c>
      <c r="DM25" t="str">
        <f t="shared" si="14"/>
        <v/>
      </c>
      <c r="DN25" t="str">
        <f t="shared" si="27"/>
        <v/>
      </c>
    </row>
    <row r="26" spans="1:118">
      <c r="A26" s="249">
        <f t="shared" si="15"/>
        <v>18</v>
      </c>
      <c r="B26" s="132" t="str">
        <f t="shared" si="0"/>
        <v>ma</v>
      </c>
      <c r="C26" s="133" t="s">
        <v>209</v>
      </c>
      <c r="D26" s="134">
        <f t="shared" si="1"/>
        <v>51.142857142857146</v>
      </c>
      <c r="E26" s="871"/>
      <c r="F26" s="872"/>
      <c r="G26" s="873"/>
      <c r="H26" s="313"/>
      <c r="I26" s="582"/>
      <c r="J26" s="440"/>
      <c r="K26" s="405"/>
      <c r="L26" s="405"/>
      <c r="M26" s="405"/>
      <c r="N26" s="334">
        <f t="shared" si="16"/>
        <v>0</v>
      </c>
      <c r="O26" s="334">
        <f t="shared" si="17"/>
        <v>0</v>
      </c>
      <c r="P26" s="334">
        <f>IF(Stamoplysninger!$H$29="JA",December!DG26,CX26)</f>
        <v>0</v>
      </c>
      <c r="Q26" s="334">
        <f t="shared" si="18"/>
        <v>0</v>
      </c>
      <c r="R26" s="335"/>
      <c r="S26" s="341"/>
      <c r="T26" s="342"/>
      <c r="U26" s="342"/>
      <c r="V26" s="336"/>
      <c r="W26" s="472"/>
      <c r="X26" s="337"/>
      <c r="Y26">
        <f t="shared" si="19"/>
        <v>0</v>
      </c>
      <c r="Z26">
        <f t="shared" si="2"/>
        <v>0</v>
      </c>
      <c r="AA26" s="1">
        <f t="shared" si="3"/>
        <v>0</v>
      </c>
      <c r="AB26" s="1">
        <f t="shared" si="4"/>
        <v>0</v>
      </c>
      <c r="AC26" s="1">
        <f t="shared" si="5"/>
        <v>0</v>
      </c>
      <c r="AD26" s="1">
        <f t="shared" si="6"/>
        <v>0</v>
      </c>
      <c r="AE26" s="1">
        <f t="shared" si="7"/>
        <v>0</v>
      </c>
      <c r="AF26" s="1">
        <f>IF(C26="Orlov",7.4*Stamoplysninger!$E$15,0)</f>
        <v>0</v>
      </c>
      <c r="AG26">
        <f>IF(AND(C26="Skema 1",B26="ma"),Arbejdstidsoversigt!$E$44,"")</f>
        <v>0</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8"/>
        <v>0</v>
      </c>
      <c r="BC26" s="1">
        <f t="shared" si="21"/>
        <v>0</v>
      </c>
      <c r="BD26" s="1">
        <f t="shared" si="9"/>
        <v>0</v>
      </c>
      <c r="BE26" s="1">
        <f t="shared" si="10"/>
        <v>0</v>
      </c>
      <c r="BF26" s="1">
        <f t="shared" si="11"/>
        <v>0</v>
      </c>
      <c r="BG26" s="214">
        <f>IF(AND(C26="Skema 1",B26="ma"),Skemaoplysninger!$E$30,"")</f>
        <v>0</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2"/>
        <v>0</v>
      </c>
      <c r="CC26" s="1">
        <f t="shared" si="13"/>
        <v>0</v>
      </c>
      <c r="CD26" s="214">
        <f>IF(AND(C26="Skema 1",B26="ma"),Skemaoplysninger!$E$39,"")</f>
        <v>0</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4"/>
        <v/>
      </c>
      <c r="DL26" t="str">
        <f t="shared" si="14"/>
        <v/>
      </c>
      <c r="DM26" t="str">
        <f t="shared" si="14"/>
        <v/>
      </c>
      <c r="DN26" t="str">
        <f t="shared" si="27"/>
        <v/>
      </c>
    </row>
    <row r="27" spans="1:118">
      <c r="A27" s="249">
        <f t="shared" si="15"/>
        <v>19</v>
      </c>
      <c r="B27" s="132" t="str">
        <f t="shared" si="0"/>
        <v>ti</v>
      </c>
      <c r="C27" s="133" t="s">
        <v>209</v>
      </c>
      <c r="D27" s="134" t="str">
        <f t="shared" si="1"/>
        <v/>
      </c>
      <c r="E27" s="871"/>
      <c r="F27" s="872"/>
      <c r="G27" s="873"/>
      <c r="H27" s="313"/>
      <c r="I27" s="582"/>
      <c r="J27" s="440"/>
      <c r="K27" s="405"/>
      <c r="L27" s="405"/>
      <c r="M27" s="405"/>
      <c r="N27" s="334">
        <f t="shared" si="16"/>
        <v>0</v>
      </c>
      <c r="O27" s="334">
        <f t="shared" si="17"/>
        <v>0</v>
      </c>
      <c r="P27" s="334">
        <f>IF(Stamoplysninger!$H$29="JA",December!DG27,CX27)</f>
        <v>0</v>
      </c>
      <c r="Q27" s="334">
        <f t="shared" si="18"/>
        <v>0</v>
      </c>
      <c r="R27" s="335"/>
      <c r="S27" s="341"/>
      <c r="T27" s="342"/>
      <c r="U27" s="342"/>
      <c r="V27" s="336"/>
      <c r="W27" s="472"/>
      <c r="X27" s="337"/>
      <c r="Y27">
        <f t="shared" si="19"/>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1",B27="ma"),Arbejdstidsoversigt!$E$44,"")</f>
        <v/>
      </c>
      <c r="AH27">
        <f>IF(AND(C27="Skema 1",B27="ti"),Arbejdstidsoversigt!$E$45,"")</f>
        <v>0</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8"/>
        <v>0</v>
      </c>
      <c r="BC27" s="1">
        <f t="shared" si="21"/>
        <v>0</v>
      </c>
      <c r="BD27" s="1">
        <f t="shared" si="9"/>
        <v>0</v>
      </c>
      <c r="BE27" s="1">
        <f t="shared" si="10"/>
        <v>0</v>
      </c>
      <c r="BF27" s="1">
        <f t="shared" si="11"/>
        <v>0</v>
      </c>
      <c r="BG27" s="214" t="str">
        <f>IF(AND(C27="Skema 1",B27="ma"),Skemaoplysninger!$E$30,"")</f>
        <v/>
      </c>
      <c r="BH27" s="214">
        <f>IF(AND(C27="Skema 1",B27="ti"),Skemaoplysninger!$F$30,"")</f>
        <v>0</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2"/>
        <v>0</v>
      </c>
      <c r="CC27" s="1">
        <f t="shared" si="13"/>
        <v>0</v>
      </c>
      <c r="CD27" s="214" t="str">
        <f>IF(AND(C27="Skema 1",B27="ma"),Skemaoplysninger!$E$39,"")</f>
        <v/>
      </c>
      <c r="CE27" s="214">
        <f>IF(AND(C27="Skema 1",B27="ti"),Skemaoplysninger!$F$39,"")</f>
        <v>0</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f t="shared" si="25"/>
        <v>0</v>
      </c>
      <c r="DJ27">
        <f t="shared" si="26"/>
        <v>0</v>
      </c>
      <c r="DK27" t="str">
        <f t="shared" si="14"/>
        <v/>
      </c>
      <c r="DL27" t="str">
        <f t="shared" si="14"/>
        <v/>
      </c>
      <c r="DM27" t="str">
        <f t="shared" si="14"/>
        <v/>
      </c>
      <c r="DN27" t="str">
        <f t="shared" si="27"/>
        <v/>
      </c>
    </row>
    <row r="28" spans="1:118">
      <c r="A28" s="249">
        <f t="shared" si="15"/>
        <v>20</v>
      </c>
      <c r="B28" s="132" t="str">
        <f t="shared" si="0"/>
        <v>on</v>
      </c>
      <c r="C28" s="133" t="s">
        <v>129</v>
      </c>
      <c r="D28" s="134" t="str">
        <f t="shared" si="1"/>
        <v/>
      </c>
      <c r="E28" s="871"/>
      <c r="F28" s="872"/>
      <c r="G28" s="873"/>
      <c r="H28" s="313"/>
      <c r="I28" s="582"/>
      <c r="J28" s="440"/>
      <c r="K28" s="405"/>
      <c r="L28" s="405"/>
      <c r="M28" s="405"/>
      <c r="N28" s="334">
        <f t="shared" si="16"/>
        <v>0</v>
      </c>
      <c r="O28" s="334">
        <f t="shared" si="17"/>
        <v>0</v>
      </c>
      <c r="P28" s="334">
        <f>IF(Stamoplysninger!$H$29="JA",December!DG28,CX28)</f>
        <v>0</v>
      </c>
      <c r="Q28" s="334">
        <f t="shared" si="18"/>
        <v>0</v>
      </c>
      <c r="R28" s="335"/>
      <c r="S28" s="341"/>
      <c r="T28" s="342"/>
      <c r="U28" s="342"/>
      <c r="V28" s="336"/>
      <c r="W28" s="472"/>
      <c r="X28" s="337"/>
      <c r="Y28">
        <f t="shared" si="19"/>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1",B28="ma"),Arbejdstidsoversigt!$E$44,"")</f>
        <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8"/>
        <v>0</v>
      </c>
      <c r="BC28" s="1">
        <f t="shared" si="21"/>
        <v>0</v>
      </c>
      <c r="BD28" s="1">
        <f t="shared" si="9"/>
        <v>0</v>
      </c>
      <c r="BE28" s="1">
        <f t="shared" si="10"/>
        <v>0</v>
      </c>
      <c r="BF28" s="1">
        <f t="shared" si="11"/>
        <v>0</v>
      </c>
      <c r="BG28" s="214" t="str">
        <f>IF(AND(C28="Skema 1",B28="ma"),Skemaoplysninger!$E$30,"")</f>
        <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2"/>
        <v>0</v>
      </c>
      <c r="CC28" s="1">
        <f t="shared" si="13"/>
        <v>0</v>
      </c>
      <c r="CD28" s="214" t="str">
        <f>IF(AND(C28="Skema 1",B28="ma"),Skemaoplysninger!$E$39,"")</f>
        <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4"/>
        <v/>
      </c>
      <c r="DL28" t="str">
        <f t="shared" si="14"/>
        <v/>
      </c>
      <c r="DM28" t="str">
        <f t="shared" si="14"/>
        <v/>
      </c>
      <c r="DN28" t="str">
        <f t="shared" si="27"/>
        <v/>
      </c>
    </row>
    <row r="29" spans="1:118">
      <c r="A29" s="249">
        <f t="shared" si="15"/>
        <v>21</v>
      </c>
      <c r="B29" s="132" t="str">
        <f t="shared" si="0"/>
        <v>to</v>
      </c>
      <c r="C29" s="133" t="s">
        <v>129</v>
      </c>
      <c r="D29" s="134" t="str">
        <f t="shared" si="1"/>
        <v/>
      </c>
      <c r="E29" s="871"/>
      <c r="F29" s="872"/>
      <c r="G29" s="873"/>
      <c r="H29" s="313"/>
      <c r="I29" s="582"/>
      <c r="J29" s="440"/>
      <c r="K29" s="405"/>
      <c r="L29" s="405"/>
      <c r="M29" s="405"/>
      <c r="N29" s="334">
        <f t="shared" si="16"/>
        <v>0</v>
      </c>
      <c r="O29" s="334">
        <f t="shared" si="17"/>
        <v>0</v>
      </c>
      <c r="P29" s="334">
        <f>IF(Stamoplysninger!$H$29="JA",December!DG29,CX29)</f>
        <v>0</v>
      </c>
      <c r="Q29" s="334">
        <f t="shared" si="18"/>
        <v>0</v>
      </c>
      <c r="R29" s="335"/>
      <c r="S29" s="341"/>
      <c r="T29" s="342"/>
      <c r="U29" s="342"/>
      <c r="V29" s="336"/>
      <c r="W29" s="472"/>
      <c r="X29" s="337"/>
      <c r="Y29">
        <f t="shared" si="19"/>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1",B29="ma"),Arbejdstidsoversigt!$E$44,"")</f>
        <v/>
      </c>
      <c r="AH29" t="str">
        <f>IF(AND(C29="Skema 1",B29="ti"),Arbejdstidsoversigt!$E$45,"")</f>
        <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8"/>
        <v>0</v>
      </c>
      <c r="BC29" s="1">
        <f t="shared" si="21"/>
        <v>0</v>
      </c>
      <c r="BD29" s="1">
        <f t="shared" si="9"/>
        <v>0</v>
      </c>
      <c r="BE29" s="1">
        <f t="shared" si="10"/>
        <v>0</v>
      </c>
      <c r="BF29" s="1">
        <f t="shared" si="11"/>
        <v>0</v>
      </c>
      <c r="BG29" s="214" t="str">
        <f>IF(AND(C29="Skema 1",B29="ma"),Skemaoplysninger!$E$30,"")</f>
        <v/>
      </c>
      <c r="BH29" s="214" t="str">
        <f>IF(AND(C29="Skema 1",B29="ti"),Skemaoplysninger!$F$30,"")</f>
        <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2"/>
        <v>0</v>
      </c>
      <c r="CC29" s="1">
        <f t="shared" si="13"/>
        <v>0</v>
      </c>
      <c r="CD29" s="214" t="str">
        <f>IF(AND(C29="Skema 1",B29="ma"),Skemaoplysninger!$E$39,"")</f>
        <v/>
      </c>
      <c r="CE29" s="214" t="str">
        <f>IF(AND(C29="Skema 1",B29="ti"),Skemaoplysninger!$F$39,"")</f>
        <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4"/>
        <v/>
      </c>
      <c r="DL29" t="str">
        <f t="shared" si="14"/>
        <v/>
      </c>
      <c r="DM29" t="str">
        <f t="shared" si="14"/>
        <v/>
      </c>
      <c r="DN29" t="str">
        <f t="shared" si="27"/>
        <v/>
      </c>
    </row>
    <row r="30" spans="1:118">
      <c r="A30" s="249">
        <f t="shared" si="15"/>
        <v>22</v>
      </c>
      <c r="B30" s="132" t="str">
        <f t="shared" si="0"/>
        <v>fr</v>
      </c>
      <c r="C30" s="133" t="s">
        <v>129</v>
      </c>
      <c r="D30" s="134" t="str">
        <f t="shared" si="1"/>
        <v/>
      </c>
      <c r="E30" s="871"/>
      <c r="F30" s="872"/>
      <c r="G30" s="873"/>
      <c r="H30" s="313"/>
      <c r="I30" s="582"/>
      <c r="J30" s="440"/>
      <c r="K30" s="405"/>
      <c r="L30" s="405"/>
      <c r="M30" s="405"/>
      <c r="N30" s="334">
        <f t="shared" si="16"/>
        <v>0</v>
      </c>
      <c r="O30" s="334">
        <f t="shared" si="17"/>
        <v>0</v>
      </c>
      <c r="P30" s="334">
        <f>IF(Stamoplysninger!$H$29="JA",December!DG30,CX30)</f>
        <v>0</v>
      </c>
      <c r="Q30" s="334">
        <f t="shared" si="18"/>
        <v>0</v>
      </c>
      <c r="R30" s="335"/>
      <c r="S30" s="341"/>
      <c r="T30" s="342"/>
      <c r="U30" s="342"/>
      <c r="V30" s="336"/>
      <c r="W30" s="472"/>
      <c r="X30" s="337"/>
      <c r="Y30">
        <f t="shared" si="19"/>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1",B30="ma"),Arbejdstidsoversigt!$E$44,"")</f>
        <v/>
      </c>
      <c r="AH30" t="str">
        <f>IF(AND(C30="Skema 1",B30="ti"),Arbejdstidsoversigt!$E$45,"")</f>
        <v/>
      </c>
      <c r="AI30" t="str">
        <f>IF(AND(C30="Skema 1",B30="on"),Arbejdstidsoversigt!$E$46,"")</f>
        <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8"/>
        <v>0</v>
      </c>
      <c r="BC30" s="1">
        <f t="shared" si="21"/>
        <v>0</v>
      </c>
      <c r="BD30" s="1">
        <f t="shared" si="9"/>
        <v>0</v>
      </c>
      <c r="BE30" s="1">
        <f t="shared" si="10"/>
        <v>0</v>
      </c>
      <c r="BF30" s="1">
        <f t="shared" si="11"/>
        <v>0</v>
      </c>
      <c r="BG30" s="214" t="str">
        <f>IF(AND(C30="Skema 1",B30="ma"),Skemaoplysninger!$E$30,"")</f>
        <v/>
      </c>
      <c r="BH30" s="214" t="str">
        <f>IF(AND(C30="Skema 1",B30="ti"),Skemaoplysninger!$F$30,"")</f>
        <v/>
      </c>
      <c r="BI30" s="214" t="str">
        <f>IF(AND(C30="Skema 1",B30="on"),Skemaoplysninger!$G$30,"")</f>
        <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2"/>
        <v>0</v>
      </c>
      <c r="CC30" s="1">
        <f t="shared" si="13"/>
        <v>0</v>
      </c>
      <c r="CD30" s="214" t="str">
        <f>IF(AND(C30="Skema 1",B30="ma"),Skemaoplysninger!$E$39,"")</f>
        <v/>
      </c>
      <c r="CE30" s="214" t="str">
        <f>IF(AND(C30="Skema 1",B30="ti"),Skemaoplysninger!$F$39,"")</f>
        <v/>
      </c>
      <c r="CF30" s="214" t="str">
        <f>IF(AND(C30="Skema 1",B30="on"),Skemaoplysninger!$G$39,"")</f>
        <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4"/>
        <v/>
      </c>
      <c r="DL30" t="str">
        <f t="shared" si="14"/>
        <v/>
      </c>
      <c r="DM30" t="str">
        <f t="shared" si="14"/>
        <v/>
      </c>
      <c r="DN30" t="str">
        <f t="shared" si="27"/>
        <v/>
      </c>
    </row>
    <row r="31" spans="1:118">
      <c r="A31" s="249">
        <f t="shared" si="15"/>
        <v>23</v>
      </c>
      <c r="B31" s="132" t="str">
        <f t="shared" si="0"/>
        <v>lø</v>
      </c>
      <c r="C31" s="133" t="s">
        <v>121</v>
      </c>
      <c r="D31" s="134" t="str">
        <f t="shared" si="1"/>
        <v/>
      </c>
      <c r="E31" s="871"/>
      <c r="F31" s="872"/>
      <c r="G31" s="873"/>
      <c r="H31" s="313"/>
      <c r="I31" s="440"/>
      <c r="J31" s="440"/>
      <c r="K31" s="405"/>
      <c r="L31" s="405"/>
      <c r="M31" s="405"/>
      <c r="N31" s="334">
        <f t="shared" si="16"/>
        <v>0</v>
      </c>
      <c r="O31" s="334">
        <f t="shared" si="17"/>
        <v>0</v>
      </c>
      <c r="P31" s="334">
        <f>IF(Stamoplysninger!$H$29="JA",December!DG31,CX31)</f>
        <v>0</v>
      </c>
      <c r="Q31" s="334">
        <f t="shared" si="18"/>
        <v>0</v>
      </c>
      <c r="R31" s="335"/>
      <c r="S31" s="341"/>
      <c r="T31" s="342"/>
      <c r="U31" s="342"/>
      <c r="V31" s="336"/>
      <c r="W31" s="472"/>
      <c r="X31" s="337"/>
      <c r="Y31">
        <f t="shared" si="19"/>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1",B31="ma"),Arbejdstidsoversigt!$E$44,"")</f>
        <v/>
      </c>
      <c r="AH31" t="str">
        <f>IF(AND(C31="Skema 1",B31="ti"),Arbejdstidsoversigt!$E$45,"")</f>
        <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8"/>
        <v>0</v>
      </c>
      <c r="BC31" s="1">
        <f t="shared" si="21"/>
        <v>0</v>
      </c>
      <c r="BD31" s="1">
        <f t="shared" si="9"/>
        <v>0</v>
      </c>
      <c r="BE31" s="1">
        <f t="shared" si="10"/>
        <v>0</v>
      </c>
      <c r="BF31" s="1">
        <f t="shared" si="11"/>
        <v>0</v>
      </c>
      <c r="BG31" s="214" t="str">
        <f>IF(AND(C31="Skema 1",B31="ma"),Skemaoplysninger!$E$30,"")</f>
        <v/>
      </c>
      <c r="BH31" s="214" t="str">
        <f>IF(AND(C31="Skema 1",B31="ti"),Skemaoplysninger!$F$30,"")</f>
        <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2"/>
        <v>0</v>
      </c>
      <c r="CC31" s="1">
        <f t="shared" si="13"/>
        <v>0</v>
      </c>
      <c r="CD31" s="214" t="str">
        <f>IF(AND(C31="Skema 1",B31="ma"),Skemaoplysninger!$E$39,"")</f>
        <v/>
      </c>
      <c r="CE31" s="214" t="str">
        <f>IF(AND(C31="Skema 1",B31="ti"),Skemaoplysninger!$F$39,"")</f>
        <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4"/>
        <v/>
      </c>
      <c r="DL31" t="str">
        <f t="shared" si="14"/>
        <v/>
      </c>
      <c r="DM31" t="str">
        <f t="shared" si="14"/>
        <v/>
      </c>
      <c r="DN31" t="str">
        <f t="shared" si="27"/>
        <v/>
      </c>
    </row>
    <row r="32" spans="1:118">
      <c r="A32" s="249">
        <f t="shared" si="15"/>
        <v>24</v>
      </c>
      <c r="B32" s="132" t="str">
        <f t="shared" si="0"/>
        <v>sø</v>
      </c>
      <c r="C32" s="133" t="s">
        <v>121</v>
      </c>
      <c r="D32" s="134" t="str">
        <f t="shared" si="1"/>
        <v/>
      </c>
      <c r="E32" s="868" t="s">
        <v>131</v>
      </c>
      <c r="F32" s="869"/>
      <c r="G32" s="870"/>
      <c r="H32" s="313"/>
      <c r="I32" s="440"/>
      <c r="J32" s="440"/>
      <c r="K32" s="405"/>
      <c r="L32" s="405"/>
      <c r="M32" s="405"/>
      <c r="N32" s="334">
        <f t="shared" si="16"/>
        <v>0</v>
      </c>
      <c r="O32" s="334">
        <f t="shared" si="17"/>
        <v>0</v>
      </c>
      <c r="P32" s="334">
        <f>IF(Stamoplysninger!$H$29="JA",December!DG32,CX32)</f>
        <v>0</v>
      </c>
      <c r="Q32" s="334">
        <f t="shared" si="18"/>
        <v>0</v>
      </c>
      <c r="R32" s="335"/>
      <c r="S32" s="341"/>
      <c r="T32" s="342"/>
      <c r="U32" s="342"/>
      <c r="V32" s="336"/>
      <c r="W32" s="472"/>
      <c r="X32" s="337"/>
      <c r="Y32">
        <f t="shared" si="19"/>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1",B32="ma"),Arbejdstidsoversigt!$E$44,"")</f>
        <v/>
      </c>
      <c r="AH32" t="str">
        <f>IF(AND(C32="Skema 1",B32="ti"),Arbejdstidsoversigt!$E$45,"")</f>
        <v/>
      </c>
      <c r="AI32" t="str">
        <f>IF(AND(C32="Skema 1",B32="on"),Arbejdstidsoversigt!$E$46,"")</f>
        <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8"/>
        <v>0</v>
      </c>
      <c r="BC32" s="1">
        <f t="shared" si="21"/>
        <v>0</v>
      </c>
      <c r="BD32" s="1">
        <f t="shared" si="9"/>
        <v>0</v>
      </c>
      <c r="BE32" s="1">
        <f t="shared" si="10"/>
        <v>0</v>
      </c>
      <c r="BF32" s="1">
        <f t="shared" si="11"/>
        <v>0</v>
      </c>
      <c r="BG32" s="214" t="str">
        <f>IF(AND(C32="Skema 1",B32="ma"),Skemaoplysninger!$E$30,"")</f>
        <v/>
      </c>
      <c r="BH32" s="214" t="str">
        <f>IF(AND(C32="Skema 1",B32="ti"),Skemaoplysninger!$F$30,"")</f>
        <v/>
      </c>
      <c r="BI32" s="214" t="str">
        <f>IF(AND(C32="Skema 1",B32="on"),Skemaoplysninger!$G$30,"")</f>
        <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2"/>
        <v>0</v>
      </c>
      <c r="CC32" s="1">
        <f t="shared" si="13"/>
        <v>0</v>
      </c>
      <c r="CD32" s="214" t="str">
        <f>IF(AND(C32="Skema 1",B32="ma"),Skemaoplysninger!$E$39,"")</f>
        <v/>
      </c>
      <c r="CE32" s="214" t="str">
        <f>IF(AND(C32="Skema 1",B32="ti"),Skemaoplysninger!$F$39,"")</f>
        <v/>
      </c>
      <c r="CF32" s="214" t="str">
        <f>IF(AND(C32="Skema 1",B32="on"),Skemaoplysninger!$G$39,"")</f>
        <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t="str">
        <f t="shared" si="25"/>
        <v>Juleaftensdag</v>
      </c>
      <c r="DJ32" t="str">
        <f t="shared" si="26"/>
        <v/>
      </c>
      <c r="DK32" t="str">
        <f t="shared" si="14"/>
        <v/>
      </c>
      <c r="DL32" t="str">
        <f t="shared" si="14"/>
        <v>Juleaftensdag</v>
      </c>
      <c r="DM32" t="str">
        <f t="shared" si="14"/>
        <v/>
      </c>
      <c r="DN32" t="str">
        <f t="shared" si="27"/>
        <v>Juleaftensdag</v>
      </c>
    </row>
    <row r="33" spans="1:118">
      <c r="A33" s="249">
        <f t="shared" si="15"/>
        <v>25</v>
      </c>
      <c r="B33" s="132" t="str">
        <f t="shared" si="0"/>
        <v>ma</v>
      </c>
      <c r="C33" s="133" t="s">
        <v>120</v>
      </c>
      <c r="D33" s="134">
        <f t="shared" si="1"/>
        <v>52.142857142857146</v>
      </c>
      <c r="E33" s="871" t="s">
        <v>324</v>
      </c>
      <c r="F33" s="872"/>
      <c r="G33" s="873"/>
      <c r="H33" s="313"/>
      <c r="I33" s="440"/>
      <c r="J33" s="440"/>
      <c r="K33" s="405"/>
      <c r="L33" s="405"/>
      <c r="M33" s="405"/>
      <c r="N33" s="334">
        <f t="shared" si="16"/>
        <v>0</v>
      </c>
      <c r="O33" s="334">
        <f t="shared" si="17"/>
        <v>0</v>
      </c>
      <c r="P33" s="334">
        <f>IF(Stamoplysninger!$H$29="JA",December!DG33,CX33)</f>
        <v>0</v>
      </c>
      <c r="Q33" s="334">
        <f t="shared" si="18"/>
        <v>0</v>
      </c>
      <c r="R33" s="335"/>
      <c r="S33" s="341"/>
      <c r="T33" s="342"/>
      <c r="U33" s="342"/>
      <c r="V33" s="336"/>
      <c r="W33" s="472"/>
      <c r="X33" s="337"/>
      <c r="Y33">
        <f t="shared" si="19"/>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1",B33="ma"),Arbejdstidsoversigt!$E$44,"")</f>
        <v/>
      </c>
      <c r="AH33" t="str">
        <f>IF(AND(C33="Skema 1",B33="ti"),Arbejdstidsoversigt!$E$45,"")</f>
        <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8"/>
        <v>0</v>
      </c>
      <c r="BC33" s="1">
        <f t="shared" si="21"/>
        <v>0</v>
      </c>
      <c r="BD33" s="1">
        <f t="shared" si="9"/>
        <v>0</v>
      </c>
      <c r="BE33" s="1">
        <f t="shared" si="10"/>
        <v>0</v>
      </c>
      <c r="BF33" s="1">
        <f t="shared" si="11"/>
        <v>0</v>
      </c>
      <c r="BG33" s="214" t="str">
        <f>IF(AND(C33="Skema 1",B33="ma"),Skemaoplysninger!$E$30,"")</f>
        <v/>
      </c>
      <c r="BH33" s="214" t="str">
        <f>IF(AND(C33="Skema 1",B33="ti"),Skemaoplysninger!$F$30,"")</f>
        <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2"/>
        <v>0</v>
      </c>
      <c r="CC33" s="1">
        <f t="shared" si="13"/>
        <v>0</v>
      </c>
      <c r="CD33" s="214" t="str">
        <f>IF(AND(C33="Skema 1",B33="ma"),Skemaoplysninger!$E$39,"")</f>
        <v/>
      </c>
      <c r="CE33" s="214" t="str">
        <f>IF(AND(C33="Skema 1",B33="ti"),Skemaoplysninger!$F$39,"")</f>
        <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t="str">
        <f t="shared" si="25"/>
        <v>Juledag</v>
      </c>
      <c r="DJ33" t="str">
        <f t="shared" si="26"/>
        <v/>
      </c>
      <c r="DK33" t="str">
        <f t="shared" si="14"/>
        <v/>
      </c>
      <c r="DL33" t="str">
        <f t="shared" si="14"/>
        <v>Juledag</v>
      </c>
      <c r="DM33" t="str">
        <f t="shared" si="14"/>
        <v/>
      </c>
      <c r="DN33" t="str">
        <f t="shared" si="27"/>
        <v>Juledag</v>
      </c>
    </row>
    <row r="34" spans="1:118">
      <c r="A34" s="249">
        <f t="shared" si="15"/>
        <v>26</v>
      </c>
      <c r="B34" s="132" t="str">
        <f t="shared" si="0"/>
        <v>ti</v>
      </c>
      <c r="C34" s="133" t="s">
        <v>120</v>
      </c>
      <c r="D34" s="134" t="str">
        <f t="shared" si="1"/>
        <v/>
      </c>
      <c r="E34" s="871" t="s">
        <v>98</v>
      </c>
      <c r="F34" s="872"/>
      <c r="G34" s="873"/>
      <c r="H34" s="313"/>
      <c r="I34" s="440"/>
      <c r="J34" s="440"/>
      <c r="K34" s="405"/>
      <c r="L34" s="405"/>
      <c r="M34" s="405"/>
      <c r="N34" s="334">
        <f t="shared" si="16"/>
        <v>0</v>
      </c>
      <c r="O34" s="334">
        <f t="shared" si="17"/>
        <v>0</v>
      </c>
      <c r="P34" s="334">
        <f>IF(Stamoplysninger!$H$29="JA",December!DG34,CX34)</f>
        <v>0</v>
      </c>
      <c r="Q34" s="334">
        <f t="shared" si="18"/>
        <v>0</v>
      </c>
      <c r="R34" s="335"/>
      <c r="S34" s="341"/>
      <c r="T34" s="342"/>
      <c r="U34" s="342"/>
      <c r="V34" s="336"/>
      <c r="W34" s="472"/>
      <c r="X34" s="337"/>
      <c r="Y34">
        <f t="shared" si="19"/>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1",B34="ma"),Arbejdstidsoversigt!$E$44,"")</f>
        <v/>
      </c>
      <c r="AH34" t="str">
        <f>IF(AND(C34="Skema 1",B34="ti"),Arbejdstidsoversigt!$E$45,"")</f>
        <v/>
      </c>
      <c r="AI34" t="str">
        <f>IF(AND(C34="Skema 1",B34="on"),Arbejdstidsoversigt!$E$46,"")</f>
        <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8"/>
        <v>0</v>
      </c>
      <c r="BC34" s="1">
        <f t="shared" si="21"/>
        <v>0</v>
      </c>
      <c r="BD34" s="1">
        <f t="shared" si="9"/>
        <v>0</v>
      </c>
      <c r="BE34" s="1">
        <f t="shared" si="10"/>
        <v>0</v>
      </c>
      <c r="BF34" s="1">
        <f t="shared" si="11"/>
        <v>0</v>
      </c>
      <c r="BG34" s="214" t="str">
        <f>IF(AND(C34="Skema 1",B34="ma"),Skemaoplysninger!$E$30,"")</f>
        <v/>
      </c>
      <c r="BH34" s="214" t="str">
        <f>IF(AND(C34="Skema 1",B34="ti"),Skemaoplysninger!$F$30,"")</f>
        <v/>
      </c>
      <c r="BI34" s="214" t="str">
        <f>IF(AND(C34="Skema 1",B34="on"),Skemaoplysninger!$G$30,"")</f>
        <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2"/>
        <v>0</v>
      </c>
      <c r="CC34" s="1">
        <f t="shared" si="13"/>
        <v>0</v>
      </c>
      <c r="CD34" s="214" t="str">
        <f>IF(AND(C34="Skema 1",B34="ma"),Skemaoplysninger!$E$39,"")</f>
        <v/>
      </c>
      <c r="CE34" s="214" t="str">
        <f>IF(AND(C34="Skema 1",B34="ti"),Skemaoplysninger!$F$39,"")</f>
        <v/>
      </c>
      <c r="CF34" s="214" t="str">
        <f>IF(AND(C34="Skema 1",B34="on"),Skemaoplysninger!$G$39,"")</f>
        <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t="str">
        <f t="shared" si="25"/>
        <v>2. juledag</v>
      </c>
      <c r="DJ34" t="str">
        <f t="shared" si="26"/>
        <v/>
      </c>
      <c r="DK34" t="str">
        <f t="shared" si="14"/>
        <v/>
      </c>
      <c r="DL34" t="str">
        <f t="shared" si="14"/>
        <v>2. juledag</v>
      </c>
      <c r="DM34" t="str">
        <f t="shared" si="14"/>
        <v/>
      </c>
      <c r="DN34" t="str">
        <f t="shared" si="27"/>
        <v>2. juledag</v>
      </c>
    </row>
    <row r="35" spans="1:118">
      <c r="A35" s="249">
        <f t="shared" si="15"/>
        <v>27</v>
      </c>
      <c r="B35" s="132" t="str">
        <f t="shared" si="0"/>
        <v>on</v>
      </c>
      <c r="C35" s="133" t="s">
        <v>129</v>
      </c>
      <c r="D35" s="134" t="str">
        <f t="shared" si="1"/>
        <v/>
      </c>
      <c r="E35" s="871"/>
      <c r="F35" s="872"/>
      <c r="G35" s="873"/>
      <c r="H35" s="313"/>
      <c r="I35" s="582"/>
      <c r="J35" s="440"/>
      <c r="K35" s="405"/>
      <c r="L35" s="405"/>
      <c r="M35" s="405"/>
      <c r="N35" s="334">
        <f t="shared" si="16"/>
        <v>0</v>
      </c>
      <c r="O35" s="334">
        <f t="shared" si="17"/>
        <v>0</v>
      </c>
      <c r="P35" s="334">
        <f>IF(Stamoplysninger!$H$29="JA",December!DG35,CX35)</f>
        <v>0</v>
      </c>
      <c r="Q35" s="334">
        <f t="shared" si="18"/>
        <v>0</v>
      </c>
      <c r="R35" s="335"/>
      <c r="S35" s="341"/>
      <c r="T35" s="342"/>
      <c r="U35" s="342"/>
      <c r="V35" s="336"/>
      <c r="W35" s="472"/>
      <c r="X35" s="337"/>
      <c r="Y35">
        <f t="shared" si="19"/>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1",B35="ma"),Arbejdstidsoversigt!$E$44,"")</f>
        <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0</v>
      </c>
      <c r="BB35" s="233">
        <f t="shared" si="8"/>
        <v>0</v>
      </c>
      <c r="BC35" s="1">
        <f t="shared" si="21"/>
        <v>0</v>
      </c>
      <c r="BD35" s="1">
        <f t="shared" si="9"/>
        <v>0</v>
      </c>
      <c r="BE35" s="1">
        <f t="shared" si="10"/>
        <v>0</v>
      </c>
      <c r="BF35" s="1">
        <f t="shared" si="11"/>
        <v>0</v>
      </c>
      <c r="BG35" s="214" t="str">
        <f>IF(AND(C35="Skema 1",B35="ma"),Skemaoplysninger!$E$30,"")</f>
        <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2"/>
        <v>0</v>
      </c>
      <c r="CC35" s="1">
        <f t="shared" si="13"/>
        <v>0</v>
      </c>
      <c r="CD35" s="214" t="str">
        <f>IF(AND(C35="Skema 1",B35="ma"),Skemaoplysninger!$E$39,"")</f>
        <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4"/>
        <v/>
      </c>
      <c r="DL35" t="str">
        <f t="shared" si="14"/>
        <v/>
      </c>
      <c r="DM35" t="str">
        <f t="shared" si="14"/>
        <v/>
      </c>
      <c r="DN35" t="str">
        <f t="shared" si="27"/>
        <v/>
      </c>
    </row>
    <row r="36" spans="1:118">
      <c r="A36" s="249">
        <f t="shared" si="15"/>
        <v>28</v>
      </c>
      <c r="B36" s="132" t="str">
        <f t="shared" si="0"/>
        <v>to</v>
      </c>
      <c r="C36" s="133" t="s">
        <v>129</v>
      </c>
      <c r="D36" s="134" t="str">
        <f t="shared" si="1"/>
        <v/>
      </c>
      <c r="E36" s="871"/>
      <c r="F36" s="872"/>
      <c r="G36" s="873"/>
      <c r="H36" s="313"/>
      <c r="I36" s="582"/>
      <c r="J36" s="440"/>
      <c r="K36" s="405"/>
      <c r="L36" s="405"/>
      <c r="M36" s="405"/>
      <c r="N36" s="334">
        <f t="shared" si="16"/>
        <v>0</v>
      </c>
      <c r="O36" s="334">
        <f t="shared" si="17"/>
        <v>0</v>
      </c>
      <c r="P36" s="334">
        <f>IF(Stamoplysninger!$H$29="JA",December!DG36,CX36)</f>
        <v>0</v>
      </c>
      <c r="Q36" s="334">
        <f t="shared" si="18"/>
        <v>0</v>
      </c>
      <c r="R36" s="335"/>
      <c r="S36" s="341"/>
      <c r="T36" s="342"/>
      <c r="U36" s="342"/>
      <c r="V36" s="336"/>
      <c r="W36" s="472"/>
      <c r="X36" s="337"/>
      <c r="Y36">
        <f t="shared" si="19"/>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1",B36="ma"),Arbejdstidsoversigt!$E$44,"")</f>
        <v/>
      </c>
      <c r="AH36" t="str">
        <f>IF(AND(C36="Skema 1",B36="ti"),Arbejdstidsoversigt!$E$45,"")</f>
        <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8"/>
        <v>0</v>
      </c>
      <c r="BC36" s="1">
        <f t="shared" si="21"/>
        <v>0</v>
      </c>
      <c r="BD36" s="1">
        <f t="shared" si="9"/>
        <v>0</v>
      </c>
      <c r="BE36" s="1">
        <f t="shared" si="10"/>
        <v>0</v>
      </c>
      <c r="BF36" s="1">
        <f t="shared" si="11"/>
        <v>0</v>
      </c>
      <c r="BG36" s="214" t="str">
        <f>IF(AND(C36="Skema 1",B36="ma"),Skemaoplysninger!$E$30,"")</f>
        <v/>
      </c>
      <c r="BH36" s="214" t="str">
        <f>IF(AND(C36="Skema 1",B36="ti"),Skemaoplysninger!$F$30,"")</f>
        <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2"/>
        <v>0</v>
      </c>
      <c r="CC36" s="1">
        <f t="shared" si="13"/>
        <v>0</v>
      </c>
      <c r="CD36" s="214" t="str">
        <f>IF(AND(C36="Skema 1",B36="ma"),Skemaoplysninger!$E$39,"")</f>
        <v/>
      </c>
      <c r="CE36" s="214" t="str">
        <f>IF(AND(C36="Skema 1",B36="ti"),Skemaoplysninger!$F$39,"")</f>
        <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4"/>
        <v/>
      </c>
      <c r="DL36" t="str">
        <f t="shared" si="14"/>
        <v/>
      </c>
      <c r="DM36" t="str">
        <f t="shared" si="14"/>
        <v/>
      </c>
      <c r="DN36" t="str">
        <f t="shared" si="27"/>
        <v/>
      </c>
    </row>
    <row r="37" spans="1:118">
      <c r="A37" s="249">
        <f>IF(ISNUMBER(A36),A36+1,1)</f>
        <v>29</v>
      </c>
      <c r="B37" s="132" t="str">
        <f t="shared" si="0"/>
        <v>fr</v>
      </c>
      <c r="C37" s="133" t="s">
        <v>129</v>
      </c>
      <c r="D37" s="134" t="str">
        <f t="shared" si="1"/>
        <v/>
      </c>
      <c r="E37" s="871"/>
      <c r="F37" s="872"/>
      <c r="G37" s="873"/>
      <c r="H37" s="313"/>
      <c r="I37" s="582"/>
      <c r="J37" s="440"/>
      <c r="K37" s="405"/>
      <c r="L37" s="405"/>
      <c r="M37" s="405"/>
      <c r="N37" s="334">
        <f t="shared" si="16"/>
        <v>0</v>
      </c>
      <c r="O37" s="334">
        <f t="shared" si="17"/>
        <v>0</v>
      </c>
      <c r="P37" s="334">
        <f>IF(Stamoplysninger!$H$29="JA",December!DG37,CX37)</f>
        <v>0</v>
      </c>
      <c r="Q37" s="334">
        <f t="shared" si="18"/>
        <v>0</v>
      </c>
      <c r="R37" s="335"/>
      <c r="S37" s="341"/>
      <c r="T37" s="342"/>
      <c r="U37" s="342"/>
      <c r="V37" s="336"/>
      <c r="W37" s="472"/>
      <c r="X37" s="337"/>
      <c r="Y37">
        <f t="shared" si="19"/>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1",B37="ma"),Arbejdstidsoversigt!$E$44,"")</f>
        <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0</v>
      </c>
      <c r="BB37" s="233">
        <f t="shared" si="8"/>
        <v>0</v>
      </c>
      <c r="BC37" s="1">
        <f t="shared" si="21"/>
        <v>0</v>
      </c>
      <c r="BD37" s="1">
        <f t="shared" si="9"/>
        <v>0</v>
      </c>
      <c r="BE37" s="1">
        <f t="shared" si="10"/>
        <v>0</v>
      </c>
      <c r="BF37" s="1">
        <f t="shared" si="11"/>
        <v>0</v>
      </c>
      <c r="BG37" s="214" t="str">
        <f>IF(AND(C37="Skema 1",B37="ma"),Skemaoplysninger!$E$30,"")</f>
        <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2"/>
        <v>0</v>
      </c>
      <c r="CC37" s="1">
        <f t="shared" si="13"/>
        <v>0</v>
      </c>
      <c r="CD37" s="214" t="str">
        <f>IF(AND(C37="Skema 1",B37="ma"),Skemaoplysninger!$E$39,"")</f>
        <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4"/>
        <v/>
      </c>
      <c r="DL37" t="str">
        <f t="shared" si="14"/>
        <v/>
      </c>
      <c r="DM37" t="str">
        <f t="shared" si="14"/>
        <v/>
      </c>
      <c r="DN37" t="str">
        <f t="shared" si="27"/>
        <v/>
      </c>
    </row>
    <row r="38" spans="1:118">
      <c r="A38" s="249">
        <f t="shared" si="15"/>
        <v>30</v>
      </c>
      <c r="B38" s="132" t="str">
        <f t="shared" si="0"/>
        <v>lø</v>
      </c>
      <c r="C38" s="133" t="s">
        <v>121</v>
      </c>
      <c r="D38" s="134" t="str">
        <f t="shared" si="1"/>
        <v/>
      </c>
      <c r="E38" s="871"/>
      <c r="F38" s="872"/>
      <c r="G38" s="873"/>
      <c r="H38" s="313"/>
      <c r="I38" s="440"/>
      <c r="J38" s="440"/>
      <c r="K38" s="405"/>
      <c r="L38" s="405"/>
      <c r="M38" s="405"/>
      <c r="N38" s="334">
        <f t="shared" si="16"/>
        <v>0</v>
      </c>
      <c r="O38" s="334">
        <f t="shared" si="17"/>
        <v>0</v>
      </c>
      <c r="P38" s="334">
        <f>IF(Stamoplysninger!$H$29="JA",December!DG38,CX38)</f>
        <v>0</v>
      </c>
      <c r="Q38" s="334">
        <f t="shared" si="18"/>
        <v>0</v>
      </c>
      <c r="R38" s="335"/>
      <c r="S38" s="341"/>
      <c r="T38" s="342"/>
      <c r="U38" s="471"/>
      <c r="V38" s="336"/>
      <c r="W38" s="472"/>
      <c r="X38" s="337"/>
      <c r="Y38">
        <f t="shared" si="19"/>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1",B38="ma"),Arbejdstidsoversigt!$E$44,"")</f>
        <v/>
      </c>
      <c r="AH38" t="str">
        <f>IF(AND(C38="Skema 1",B38="ti"),Arbejdstidsoversigt!$E$45,"")</f>
        <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0</v>
      </c>
      <c r="BB38" s="233">
        <f t="shared" si="8"/>
        <v>0</v>
      </c>
      <c r="BC38" s="1">
        <f t="shared" si="21"/>
        <v>0</v>
      </c>
      <c r="BD38" s="1">
        <f t="shared" si="9"/>
        <v>0</v>
      </c>
      <c r="BE38" s="1">
        <f t="shared" si="10"/>
        <v>0</v>
      </c>
      <c r="BF38" s="1">
        <f t="shared" si="11"/>
        <v>0</v>
      </c>
      <c r="BG38" s="214" t="str">
        <f>IF(AND(C38="Skema 1",B38="ma"),Skemaoplysninger!$E$30,"")</f>
        <v/>
      </c>
      <c r="BH38" s="214" t="str">
        <f>IF(AND(C38="Skema 1",B38="ti"),Skemaoplysninger!$F$30,"")</f>
        <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3",B38="ti"),Arbejdstidsoversigt!#REF!,"")</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2"/>
        <v>0</v>
      </c>
      <c r="CC38" s="1">
        <f t="shared" si="13"/>
        <v>0</v>
      </c>
      <c r="CD38" s="214" t="str">
        <f>IF(AND(C38="Skema 1",B38="ma"),Skemaoplysninger!$E$39,"")</f>
        <v/>
      </c>
      <c r="CE38" s="214" t="str">
        <f>IF(AND(C38="Skema 1",B38="ti"),Skemaoplysninger!$F$39,"")</f>
        <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4"/>
        <v/>
      </c>
      <c r="DL38" t="str">
        <f t="shared" si="14"/>
        <v/>
      </c>
      <c r="DM38" t="str">
        <f t="shared" si="14"/>
        <v/>
      </c>
      <c r="DN38" t="str">
        <f t="shared" si="27"/>
        <v/>
      </c>
    </row>
    <row r="39" spans="1:118">
      <c r="A39" s="249">
        <f>IF(ISNUMBER(A38),A38+1,1)</f>
        <v>31</v>
      </c>
      <c r="B39" s="132" t="str">
        <f t="shared" si="0"/>
        <v>sø</v>
      </c>
      <c r="C39" s="133" t="s">
        <v>121</v>
      </c>
      <c r="D39" s="134" t="str">
        <f t="shared" si="1"/>
        <v/>
      </c>
      <c r="E39" s="868" t="s">
        <v>130</v>
      </c>
      <c r="F39" s="869"/>
      <c r="G39" s="870"/>
      <c r="H39" s="312"/>
      <c r="I39" s="440"/>
      <c r="J39" s="440"/>
      <c r="K39" s="405"/>
      <c r="L39" s="405"/>
      <c r="M39" s="405"/>
      <c r="N39" s="334">
        <f t="shared" si="16"/>
        <v>0</v>
      </c>
      <c r="O39" s="334">
        <f t="shared" si="17"/>
        <v>0</v>
      </c>
      <c r="P39" s="334">
        <f>IF(Stamoplysninger!$H$29="JA",December!DG39,CX39)</f>
        <v>0</v>
      </c>
      <c r="Q39" s="334">
        <f t="shared" si="18"/>
        <v>0</v>
      </c>
      <c r="R39" s="335"/>
      <c r="S39" s="341"/>
      <c r="T39" s="342"/>
      <c r="U39" s="218"/>
      <c r="V39" s="336"/>
      <c r="W39" s="472"/>
      <c r="X39" s="473"/>
      <c r="Y39">
        <f t="shared" si="19"/>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1",B39="ma"),Arbejdstidsoversigt!$E$44,"")</f>
        <v/>
      </c>
      <c r="AH39" t="str">
        <f>IF(AND(C39="Skema 1",B39="ti"),Arbejdstidsoversigt!$E$45,"")</f>
        <v/>
      </c>
      <c r="AI39" t="str">
        <f>IF(AND(C39="Skema 1",B39="on"),Arbejdstidsoversigt!$E$46,"")</f>
        <v/>
      </c>
      <c r="AJ39" t="str">
        <f>IF(AND(C39="Skema 1",B39="to"),Arbejdstidsoversigt!$E$47,"")</f>
        <v/>
      </c>
      <c r="AK39" t="str">
        <f>IF(AND(C39="Skema 1",B39="fr"),Arbejdstidsoversigt!$E$48,"")</f>
        <v/>
      </c>
      <c r="AL39" t="str">
        <f>IF(AND(C39="Skema 2",B39="ma"),Arbejdstidsoversigt!$E$53,"")</f>
        <v/>
      </c>
      <c r="AM39" t="str">
        <f>IF(AND(C39="Skema 2",B39="ti"),Arbejdstidsoversigt!$E$54,"")</f>
        <v/>
      </c>
      <c r="AN39" t="str">
        <f>IF(AND(C39="Skema 2",B39="on"),Arbejdstidsoversigt!$E$55,"")</f>
        <v/>
      </c>
      <c r="AO39" t="str">
        <f>IF(AND(C39="Skema 2",B39="to"),Arbejdstidsoversigt!$E$56,"")</f>
        <v/>
      </c>
      <c r="AP39" t="str">
        <f>IF(AND(C39="Skema 2",B39="fr"),Arbejdstidsoversigt!$E$57,"")</f>
        <v/>
      </c>
      <c r="AQ39" t="str">
        <f>IF(AND(C39="Skema 3",B39="ma"),Arbejdstidsoversigt!$E$62,"")</f>
        <v/>
      </c>
      <c r="AR39" t="str">
        <f>IF(AND(C39="Skema 3",B39="ti"),Arbejdstidsoversigt!$E$63,"")</f>
        <v/>
      </c>
      <c r="AS39" t="str">
        <f>IF(AND(C39="Skema 3",B39="on"),Arbejdstidsoversigt!$E$64,"")</f>
        <v/>
      </c>
      <c r="AT39" t="str">
        <f>IF(AND(C39="Skema 3",B39="to"),Arbejdstidsoversigt!$E$65,"")</f>
        <v/>
      </c>
      <c r="AU39" t="str">
        <f>IF(AND(C39="Skema 3",B39="fr"),Arbejdstidsoversigt!$E$66,"")</f>
        <v/>
      </c>
      <c r="AV39" t="str">
        <f>IF(AND(C39="Skema 4",B39="ma"),Arbejdstidsoversigt!$E$71,"")</f>
        <v/>
      </c>
      <c r="AW39" t="str">
        <f>IF(AND(C39="Skema 4",B39="ti"),Arbejdstidsoversigt!$E$72,"")</f>
        <v/>
      </c>
      <c r="AX39" t="str">
        <f>IF(AND(C39="Skema 4",B39="on"),Arbejdstidsoversigt!$E$73,"")</f>
        <v/>
      </c>
      <c r="AY39" t="str">
        <f>IF(AND(C39="Skema 4",B39="to"),Arbejdstidsoversigt!$E$74,"")</f>
        <v/>
      </c>
      <c r="AZ39" t="str">
        <f>IF(AND(C39="Skema 4",B39="fr"),Arbejdstidsoversigt!$E$75,"")</f>
        <v/>
      </c>
      <c r="BA39" s="1">
        <f t="shared" si="20"/>
        <v>0</v>
      </c>
      <c r="BB39" s="233">
        <f t="shared" si="8"/>
        <v>0</v>
      </c>
      <c r="BC39" s="1">
        <f t="shared" si="21"/>
        <v>0</v>
      </c>
      <c r="BD39" s="1">
        <f t="shared" si="9"/>
        <v>0</v>
      </c>
      <c r="BE39" s="1">
        <f t="shared" si="10"/>
        <v>0</v>
      </c>
      <c r="BF39" s="1">
        <f t="shared" si="11"/>
        <v>0</v>
      </c>
      <c r="BG39" s="214" t="str">
        <f>IF(AND(C39="Skema 1",B39="ma"),Skemaoplysninger!$E$30,"")</f>
        <v/>
      </c>
      <c r="BH39" s="214" t="str">
        <f>IF(AND(C39="Skema 1",B39="ti"),Skemaoplysninger!$F$30,"")</f>
        <v/>
      </c>
      <c r="BI39" s="214" t="str">
        <f>IF(AND(C39="Skema 1",B39="on"),Skemaoplysninger!$G$30,"")</f>
        <v/>
      </c>
      <c r="BJ39" s="214" t="str">
        <f>IF(AND(C39="Skema 1",B39="to"),Skemaoplysninger!$H$30,"")</f>
        <v/>
      </c>
      <c r="BK39" s="214" t="str">
        <f>IF(AND(C39="Skema 1",B39="fr"),Skemaoplysninger!$I$30,"")</f>
        <v/>
      </c>
      <c r="BL39" s="214" t="str">
        <f>IF(AND(C39="Skema 2",B39="ma"),Skemaoplysninger!$O$30,"")</f>
        <v/>
      </c>
      <c r="BM39" s="214" t="str">
        <f>IF(AND(C39="Skema 2",B39="ti"),Skemaoplysninger!$P$30,"")</f>
        <v/>
      </c>
      <c r="BN39" s="214" t="str">
        <f>IF(AND(C39="Skema 2",B39="on"),Skemaoplysninger!$Q$30,"")</f>
        <v/>
      </c>
      <c r="BO39" s="214" t="str">
        <f>IF(AND(C39="Skema 2",B39="to"),Skemaoplysninger!$R$30,"")</f>
        <v/>
      </c>
      <c r="BP39" s="214" t="str">
        <f>IF(AND(C39="Skema 2",B39="fr"),Skemaoplysninger!$S$30,"")</f>
        <v/>
      </c>
      <c r="BQ39" s="214" t="str">
        <f>IF(AND(C39="Skema 3",B39="ma"),Skemaoplysninger!$Y$30,"")</f>
        <v/>
      </c>
      <c r="BR39" s="214" t="str">
        <f>IF(AND(C39="Skema 3",B39="ti"),Arbejdstidsoversigt!#REF!,"")</f>
        <v/>
      </c>
      <c r="BS39" s="214" t="str">
        <f>IF(AND(C39="Skema 3",B39="on"),Skemaoplysninger!$AA$30,"")</f>
        <v/>
      </c>
      <c r="BT39" s="214" t="str">
        <f>IF(AND(C39="Skema 3",B39="to"),Skemaoplysninger!$AB$30,"")</f>
        <v/>
      </c>
      <c r="BU39" s="214" t="str">
        <f>IF(AND(C39="Skema 3",B39="fr"),Skemaoplysninger!$AC$30,"")</f>
        <v/>
      </c>
      <c r="BV39" s="214" t="str">
        <f>IF(AND(C39="Skema 4",B39="ma"),Skemaoplysninger!$AI$30,"")</f>
        <v/>
      </c>
      <c r="BW39" s="214" t="str">
        <f>IF(AND(C39="Skema 4",B39="ti"),Skemaoplysninger!$AJ$30,"")</f>
        <v/>
      </c>
      <c r="BX39" s="214" t="str">
        <f>IF(AND(C39="Skema 4",B39="on"),Skemaoplysninger!$AK$30,"")</f>
        <v/>
      </c>
      <c r="BY39" s="214" t="str">
        <f>IF(AND(C39="Skema 4",B39="to"),Skemaoplysninger!$AL$30,"")</f>
        <v/>
      </c>
      <c r="BZ39" s="214" t="str">
        <f>IF(AND(C39="Skema 4",B39="fr"),Skemaoplysninger!$AM$30,"")</f>
        <v/>
      </c>
      <c r="CA39" s="1">
        <f t="shared" si="22"/>
        <v>0</v>
      </c>
      <c r="CB39" s="1">
        <f t="shared" si="12"/>
        <v>0</v>
      </c>
      <c r="CC39" s="1">
        <f t="shared" si="13"/>
        <v>0</v>
      </c>
      <c r="CD39" s="214" t="str">
        <f>IF(AND(C39="Skema 1",B39="ma"),Skemaoplysninger!$E$39,"")</f>
        <v/>
      </c>
      <c r="CE39" s="214" t="str">
        <f>IF(AND(C39="Skema 1",B39="ti"),Skemaoplysninger!$F$39,"")</f>
        <v/>
      </c>
      <c r="CF39" s="214" t="str">
        <f>IF(AND(C39="Skema 1",B39="on"),Skemaoplysninger!$G$39,"")</f>
        <v/>
      </c>
      <c r="CG39" s="214" t="str">
        <f>IF(AND(C39="Skema 1",B39="to"),Skemaoplysninger!$H$39,"")</f>
        <v/>
      </c>
      <c r="CH39" s="214" t="str">
        <f>IF(AND(C39="Skema 1",B39="fr"),Skemaoplysninger!$I$39,"")</f>
        <v/>
      </c>
      <c r="CI39" s="214" t="str">
        <f>IF(AND(C39="Skema 2",B39="ma"),Skemaoplysninger!$O$39,"")</f>
        <v/>
      </c>
      <c r="CJ39" s="214" t="str">
        <f>IF(AND(C39="Skema 2",B39="ti"),Skemaoplysninger!$P$39,"")</f>
        <v/>
      </c>
      <c r="CK39" s="214" t="str">
        <f>IF(AND(C39="Skema 2",B39="on"),Skemaoplysninger!$Q$39,"")</f>
        <v/>
      </c>
      <c r="CL39" s="214" t="str">
        <f>IF(AND(C39="Skema 2",B39="to"),Skemaoplysninger!$R$39,"")</f>
        <v/>
      </c>
      <c r="CM39" s="214" t="str">
        <f>IF(AND(C39="Skema 2",B39="fr"),Skemaoplysninger!$S$39,"")</f>
        <v/>
      </c>
      <c r="CN39" s="214" t="str">
        <f>IF(AND(C39="Skema 3",B39="ma"),Skemaoplysninger!$Y$39,"")</f>
        <v/>
      </c>
      <c r="CO39" s="214" t="str">
        <f>IF(AND(C39="Skema 3",B39="ti"),Skemaoplysninger!$Z$39,"")</f>
        <v/>
      </c>
      <c r="CP39" s="214" t="str">
        <f>IF(AND(C39="Skema 3",B39="on"),Skemaoplysninger!$AA$39,"")</f>
        <v/>
      </c>
      <c r="CQ39" s="214" t="str">
        <f>IF(AND(C39="Skema 3",B39="to"),Skemaoplysninger!$AB$39,"")</f>
        <v/>
      </c>
      <c r="CR39" s="214" t="str">
        <f>IF(AND(C39="Skema 3",B39="fr"),Skemaoplysninger!$AC$39,"")</f>
        <v/>
      </c>
      <c r="CS39" s="214" t="str">
        <f>IF(AND(C39="Skema 4",B39="ma"),Skemaoplysninger!$AI$39,"")</f>
        <v/>
      </c>
      <c r="CT39" s="214" t="str">
        <f>IF(AND(C39="Skema 4",B39="ti"),Skemaoplysninger!$AJ$39,"")</f>
        <v/>
      </c>
      <c r="CU39" s="214" t="str">
        <f>IF(AND(C39="Skema 4",B39="on"),Skemaoplysninger!$AK$39,"")</f>
        <v/>
      </c>
      <c r="CV39" s="214" t="str">
        <f>IF(AND(C39="Skema 4",B39="to"),Skemaoplysninger!$AL$39,"")</f>
        <v/>
      </c>
      <c r="CW39" s="214" t="str">
        <f>IF(AND(C39="Skema 4",B39="fr"),Skemaoplysninger!$AM$39,"")</f>
        <v/>
      </c>
      <c r="CX39" s="254">
        <f>IF(Stamoplysninger!$H$29="NEJ",SUM(CB39:CW39),0)</f>
        <v>0</v>
      </c>
      <c r="CY39" s="254">
        <f>IF(C39="Skema 1",Stamoplysninger!$H$30/200,0)</f>
        <v>0</v>
      </c>
      <c r="CZ39" s="254">
        <f>IF(C39="Skema 2",Stamoplysninger!$H$30/200,0)</f>
        <v>0</v>
      </c>
      <c r="DA39" s="254">
        <f>IF(C39="Skema 3",Stamoplysninger!$H$30/200,0)</f>
        <v>0</v>
      </c>
      <c r="DB39" s="254">
        <f>IF(C39="Skema 4",Stamoplysninger!$H$30/200,0)</f>
        <v>0</v>
      </c>
      <c r="DC39" s="254">
        <f>IF(C39="fagdag",Stamoplysninger!$H$30/200,0)</f>
        <v>0</v>
      </c>
      <c r="DD39" s="254">
        <f>IF(C39="emnedag",Stamoplysninger!$H$30/200,0)</f>
        <v>0</v>
      </c>
      <c r="DE39" s="254">
        <f>IF(C39="lejrskole",Stamoplysninger!$H$30/200,0)</f>
        <v>0</v>
      </c>
      <c r="DF39" s="254">
        <f>IF(C39="ekskursion",Stamoplysninger!$H$30/200,0)</f>
        <v>0</v>
      </c>
      <c r="DG39" s="254">
        <f t="shared" si="23"/>
        <v>0</v>
      </c>
      <c r="DH39" t="str">
        <f t="shared" ref="DH39" si="28">IF(AND(E39&gt;0,H39&gt;0),""&amp;E39&amp;" og "&amp;H39&amp;"","")</f>
        <v/>
      </c>
      <c r="DI39" t="str">
        <f t="shared" ref="DI39" si="29">IF(H39="",E39,"")</f>
        <v>Nytårsaftensdag</v>
      </c>
      <c r="DJ39" t="str">
        <f t="shared" ref="DJ39" si="30">IF(E39="",H39,"")</f>
        <v/>
      </c>
      <c r="DK39" t="str">
        <f t="shared" ref="DK39" si="31">IF(DH39=0,"",DH39)</f>
        <v/>
      </c>
      <c r="DL39" t="str">
        <f t="shared" ref="DL39" si="32">IF(DI39=0,"",DI39)</f>
        <v>Nytårsaftensdag</v>
      </c>
      <c r="DM39" t="str">
        <f t="shared" ref="DM39" si="33">IF(DJ39=0,"",DJ39)</f>
        <v/>
      </c>
      <c r="DN39" t="str">
        <f t="shared" ref="DN39" si="34">DK39&amp;""&amp;DL39&amp;""&amp;DM39</f>
        <v>Nytårsaftensdag</v>
      </c>
    </row>
    <row r="40" spans="1:118" ht="17" thickBot="1">
      <c r="A40" s="889" t="s">
        <v>263</v>
      </c>
      <c r="B40" s="890"/>
      <c r="C40" s="890"/>
      <c r="D40" s="890"/>
      <c r="E40" s="890"/>
      <c r="F40" s="890"/>
      <c r="G40" s="890"/>
      <c r="H40" s="890"/>
      <c r="I40" s="891"/>
      <c r="J40" s="329"/>
      <c r="K40" s="338"/>
      <c r="L40" s="338"/>
      <c r="M40" s="338"/>
      <c r="N40" s="339">
        <f t="shared" ref="N40:Q40" si="35">SUM(N9:N39)</f>
        <v>0</v>
      </c>
      <c r="O40" s="339">
        <f t="shared" si="35"/>
        <v>0</v>
      </c>
      <c r="P40" s="339">
        <f t="shared" si="35"/>
        <v>0</v>
      </c>
      <c r="Q40" s="339">
        <f t="shared" si="35"/>
        <v>0</v>
      </c>
      <c r="R40" s="340">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59"/>
      <c r="T40" s="460"/>
      <c r="U40" s="460"/>
      <c r="V40" s="460">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60">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61">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5">
        <f>SUM(Y9:Y39)</f>
        <v>0</v>
      </c>
      <c r="Z40" s="425">
        <f>Z9+Z10+Z11+Z12+Z13+Z14+Z15+Z16+Z17+Z18+Z19+Z20+Z21+Z22+Z23+Z24+Z25+Z26+Z27+Z28+Z29+Z30+Z31+Z32+Z33+Z34+Z35+Z36+Z37+Z38+Z39</f>
        <v>0</v>
      </c>
      <c r="AA40" s="239">
        <f t="shared" ref="AA40:AF40" si="36">SUM(AA9:AA39)</f>
        <v>0</v>
      </c>
      <c r="AB40" s="239">
        <f t="shared" si="36"/>
        <v>0</v>
      </c>
      <c r="AC40" s="239">
        <f t="shared" si="36"/>
        <v>0</v>
      </c>
      <c r="AD40" s="239">
        <f t="shared" si="36"/>
        <v>0</v>
      </c>
      <c r="AE40" s="239">
        <f t="shared" si="36"/>
        <v>0</v>
      </c>
      <c r="AF40" s="239">
        <f t="shared" si="36"/>
        <v>0</v>
      </c>
      <c r="BA40" s="1">
        <f>SUM(BA9:BA39)</f>
        <v>0</v>
      </c>
      <c r="BB40" s="116"/>
      <c r="BC40" s="239">
        <f>SUM(BC9:BC39)</f>
        <v>0</v>
      </c>
      <c r="BD40" s="239">
        <f>SUM(BD9:BD39)</f>
        <v>0</v>
      </c>
      <c r="BE40" s="239">
        <f t="shared" ref="BE40:BF40" si="37">SUM(BE9:BE39)</f>
        <v>0</v>
      </c>
      <c r="BF40" s="239">
        <f t="shared" si="37"/>
        <v>0</v>
      </c>
      <c r="CA40" s="239">
        <f>SUM(CA9:CA39)</f>
        <v>0</v>
      </c>
      <c r="CB40" s="239">
        <f t="shared" ref="CB40:CC40" si="38">SUM(CB9:CB39)</f>
        <v>0</v>
      </c>
      <c r="CC40" s="239">
        <f t="shared" si="38"/>
        <v>0</v>
      </c>
      <c r="CX40" s="254"/>
      <c r="CY40" s="254">
        <f t="shared" ref="CY40:DG40" si="39">SUM(CY9:CY39)</f>
        <v>0</v>
      </c>
      <c r="CZ40" s="254">
        <f t="shared" si="39"/>
        <v>0</v>
      </c>
      <c r="DA40" s="254">
        <f t="shared" si="39"/>
        <v>0</v>
      </c>
      <c r="DB40" s="254">
        <f t="shared" si="39"/>
        <v>0</v>
      </c>
      <c r="DC40" s="254">
        <f t="shared" si="39"/>
        <v>0</v>
      </c>
      <c r="DD40" s="254">
        <f t="shared" si="39"/>
        <v>0</v>
      </c>
      <c r="DE40" s="254">
        <f t="shared" si="39"/>
        <v>0</v>
      </c>
      <c r="DF40" s="254">
        <f t="shared" si="39"/>
        <v>0</v>
      </c>
      <c r="DG40" s="254">
        <f t="shared" si="39"/>
        <v>0</v>
      </c>
    </row>
    <row r="41" spans="1:118" ht="26" thickBot="1">
      <c r="A41" s="236"/>
      <c r="B41" s="236"/>
      <c r="C41" s="236"/>
      <c r="D41" s="236"/>
      <c r="E41" s="236"/>
      <c r="F41" s="236"/>
      <c r="G41" s="236"/>
      <c r="H41" s="236"/>
      <c r="I41" s="236"/>
      <c r="J41" s="236"/>
      <c r="K41" s="243"/>
      <c r="L41" s="243"/>
      <c r="M41" s="243"/>
      <c r="N41" s="243"/>
      <c r="O41" s="243"/>
      <c r="P41" s="243"/>
      <c r="Q41" s="243"/>
      <c r="R41" s="243"/>
      <c r="S41" s="478"/>
      <c r="T41" s="478"/>
      <c r="U41" s="478"/>
      <c r="V41" s="478"/>
      <c r="W41" s="478"/>
      <c r="X41" s="478"/>
      <c r="Y41" s="239"/>
      <c r="Z41" s="215"/>
      <c r="AA41" s="239"/>
      <c r="AB41" s="215"/>
      <c r="AC41" s="215"/>
      <c r="AD41" s="239"/>
      <c r="AE41" s="239"/>
      <c r="AG41" s="239"/>
      <c r="BC41" s="239"/>
      <c r="BD41" s="239"/>
      <c r="BE41" s="239"/>
      <c r="BF41" s="239"/>
      <c r="BG41" s="116"/>
      <c r="CB41" s="239"/>
      <c r="CC41" s="239"/>
      <c r="CD41" s="116"/>
      <c r="CX41" s="253"/>
      <c r="CZ41"/>
    </row>
    <row r="42" spans="1:118" ht="70" customHeight="1">
      <c r="A42" s="875" t="str">
        <f>"Arbejdstid for "&amp;A7&amp;" måned:"</f>
        <v>Arbejdstid for December måned:</v>
      </c>
      <c r="B42" s="876"/>
      <c r="C42" s="876"/>
      <c r="D42" s="876"/>
      <c r="E42" s="876"/>
      <c r="F42" s="876"/>
      <c r="G42" s="876"/>
      <c r="H42" s="347" t="s">
        <v>258</v>
      </c>
      <c r="I42" s="876" t="s">
        <v>224</v>
      </c>
      <c r="J42" s="877"/>
      <c r="K42" s="878"/>
      <c r="L42" s="267"/>
      <c r="M42" s="843" t="str">
        <f>"Ulempetimer og weekendtimer i "&amp;A5&amp;""</f>
        <v>Ulempetimer og weekendtimer i December måneds kalender for: . Måneden vedr. normperioden:  - .</v>
      </c>
      <c r="N42" s="844"/>
      <c r="O42" s="844"/>
      <c r="P42" s="844"/>
      <c r="Q42" s="844"/>
      <c r="R42" s="844"/>
      <c r="S42" s="844"/>
      <c r="T42" s="844"/>
      <c r="U42" s="844"/>
      <c r="V42" s="844"/>
      <c r="W42" s="844"/>
      <c r="X42" s="845"/>
      <c r="Y42" s="243"/>
      <c r="Z42" s="243"/>
      <c r="AD42" s="94"/>
      <c r="AE42" s="94"/>
      <c r="BM42" s="1"/>
      <c r="CJ42" s="1"/>
      <c r="CU42" s="253"/>
      <c r="CV42" s="253"/>
      <c r="CY42"/>
      <c r="CZ42"/>
    </row>
    <row r="43" spans="1:118">
      <c r="A43" s="879" t="s">
        <v>601</v>
      </c>
      <c r="B43" s="880"/>
      <c r="C43" s="880"/>
      <c r="D43" s="880"/>
      <c r="E43" s="880"/>
      <c r="F43" s="880"/>
      <c r="G43" s="880"/>
      <c r="H43" s="261">
        <f>D78</f>
        <v>21</v>
      </c>
      <c r="I43" s="892">
        <f>IF(Stamoplysninger!$E$12="Ja",1924/Arbejdstidsoversigt!$K$9*Stamoplysninger!$E$15*H43,H43*7.4*Stamoplysninger!$E$15)</f>
        <v>0</v>
      </c>
      <c r="J43" s="893"/>
      <c r="K43" s="894"/>
      <c r="L43" s="263"/>
      <c r="M43" s="846" t="s">
        <v>550</v>
      </c>
      <c r="N43" s="847"/>
      <c r="O43" s="847"/>
      <c r="P43" s="847"/>
      <c r="Q43" s="847"/>
      <c r="R43" s="847"/>
      <c r="S43" s="847"/>
      <c r="T43" s="847"/>
      <c r="U43" s="848"/>
      <c r="V43" s="990">
        <f>M73+S72+T72+M76+M80+M74+N73+N80</f>
        <v>0</v>
      </c>
      <c r="W43" s="990"/>
      <c r="X43" s="991"/>
      <c r="Y43" s="243"/>
      <c r="Z43" s="243"/>
      <c r="AD43" s="94"/>
      <c r="AE43" s="94"/>
      <c r="BM43" s="1"/>
      <c r="CJ43" s="1"/>
      <c r="CU43" s="253"/>
      <c r="CV43" s="253"/>
      <c r="CY43"/>
      <c r="CZ43"/>
    </row>
    <row r="44" spans="1:118">
      <c r="A44" s="879" t="str">
        <f>"Ferie "&amp;A7&amp;" måned"</f>
        <v>Ferie December måned</v>
      </c>
      <c r="B44" s="880"/>
      <c r="C44" s="880"/>
      <c r="D44" s="880"/>
      <c r="E44" s="880"/>
      <c r="F44" s="880"/>
      <c r="G44" s="880"/>
      <c r="H44" s="262" t="str">
        <f>IF(D73&gt;0,$D$73,"0")</f>
        <v>0</v>
      </c>
      <c r="I44" s="881">
        <f>H44*7.4*Stamoplysninger!$E$15</f>
        <v>0</v>
      </c>
      <c r="J44" s="882"/>
      <c r="K44" s="883"/>
      <c r="L44" s="263"/>
      <c r="M44" s="852" t="s">
        <v>262</v>
      </c>
      <c r="N44" s="853"/>
      <c r="O44" s="853"/>
      <c r="P44" s="853"/>
      <c r="Q44" s="853"/>
      <c r="R44" s="853"/>
      <c r="S44" s="853"/>
      <c r="T44" s="853"/>
      <c r="U44" s="854"/>
      <c r="V44" s="992">
        <f>M72+S71+T71+M75+M79+M71+N71+N79</f>
        <v>0</v>
      </c>
      <c r="W44" s="992"/>
      <c r="X44" s="993"/>
      <c r="Y44" s="243"/>
      <c r="Z44" s="243"/>
      <c r="AD44" s="94"/>
      <c r="AE44" s="94"/>
      <c r="BM44" s="1"/>
      <c r="CJ44" s="1"/>
      <c r="CU44" s="253"/>
      <c r="CV44" s="253"/>
      <c r="CY44"/>
      <c r="CZ44"/>
    </row>
    <row r="45" spans="1:118">
      <c r="A45" s="879" t="str">
        <f>"Søgnehelligdage i "&amp;A7&amp;" måned"</f>
        <v>Søgnehelligdage i December måned</v>
      </c>
      <c r="B45" s="880"/>
      <c r="C45" s="880"/>
      <c r="D45" s="880"/>
      <c r="E45" s="880"/>
      <c r="F45" s="880"/>
      <c r="G45" s="880"/>
      <c r="H45" s="262">
        <f>IF(D72&gt;0,D72,0)</f>
        <v>2</v>
      </c>
      <c r="I45" s="881">
        <f>H45*7.4*Stamoplysninger!$E$15</f>
        <v>0</v>
      </c>
      <c r="J45" s="882"/>
      <c r="K45" s="883"/>
      <c r="L45" s="414"/>
      <c r="M45" s="1034" t="s">
        <v>301</v>
      </c>
      <c r="N45" s="1035"/>
      <c r="O45" s="1035"/>
      <c r="P45" s="1035"/>
      <c r="Q45" s="1035"/>
      <c r="R45" s="1035"/>
      <c r="S45" s="1035"/>
      <c r="T45" s="1035"/>
      <c r="U45" s="1036"/>
      <c r="V45" s="994">
        <f>November!V52</f>
        <v>0</v>
      </c>
      <c r="W45" s="994"/>
      <c r="X45" s="995"/>
      <c r="Y45" s="243"/>
      <c r="Z45" s="243"/>
      <c r="AD45" s="94"/>
      <c r="AE45" s="94"/>
      <c r="BM45" s="1"/>
      <c r="CJ45" s="1"/>
      <c r="CU45" s="253"/>
      <c r="CV45" s="253"/>
      <c r="CY45"/>
      <c r="CZ45"/>
    </row>
    <row r="46" spans="1:118">
      <c r="A46" s="879" t="str">
        <f>"Nettoarbejdstid ialt i "&amp;A7&amp;" måned"</f>
        <v>Nettoarbejdstid ialt i December måned</v>
      </c>
      <c r="B46" s="880"/>
      <c r="C46" s="880"/>
      <c r="D46" s="880"/>
      <c r="E46" s="880"/>
      <c r="F46" s="880"/>
      <c r="G46" s="880"/>
      <c r="H46" s="265">
        <f>H43-H44-H45</f>
        <v>19</v>
      </c>
      <c r="I46" s="881">
        <f>I43-I44-I45</f>
        <v>0</v>
      </c>
      <c r="J46" s="882"/>
      <c r="K46" s="883"/>
      <c r="L46" s="414"/>
      <c r="M46" s="862" t="s">
        <v>308</v>
      </c>
      <c r="N46" s="863"/>
      <c r="O46" s="863"/>
      <c r="P46" s="863"/>
      <c r="Q46" s="863"/>
      <c r="R46" s="863"/>
      <c r="S46" s="863"/>
      <c r="T46" s="863"/>
      <c r="U46" s="864"/>
      <c r="V46" s="976">
        <f>V44+V45</f>
        <v>0</v>
      </c>
      <c r="W46" s="976"/>
      <c r="X46" s="977"/>
      <c r="Y46" s="243"/>
      <c r="Z46" s="243"/>
      <c r="AD46" s="94"/>
      <c r="AE46" s="94"/>
      <c r="BM46" s="1"/>
      <c r="CJ46" s="1"/>
      <c r="CU46" s="253"/>
      <c r="CV46" s="253"/>
      <c r="CY46"/>
      <c r="CZ46"/>
    </row>
    <row r="47" spans="1:118">
      <c r="A47" s="895" t="str">
        <f>"Planlagt arbejdstid efter ovennstående "&amp;A7&amp;" måned kalender"</f>
        <v>Planlagt arbejdstid efter ovennstående December måned kalender</v>
      </c>
      <c r="B47" s="896"/>
      <c r="C47" s="896"/>
      <c r="D47" s="896"/>
      <c r="E47" s="896"/>
      <c r="F47" s="896"/>
      <c r="G47" s="896"/>
      <c r="H47" s="521">
        <f>D64+D65+D66+D67+D68+D69+D70</f>
        <v>13</v>
      </c>
      <c r="I47" s="897">
        <f>N40+R40-J67</f>
        <v>0</v>
      </c>
      <c r="J47" s="834"/>
      <c r="K47" s="898"/>
      <c r="L47" s="414"/>
      <c r="M47" s="817" t="s">
        <v>299</v>
      </c>
      <c r="N47" s="818"/>
      <c r="O47" s="818"/>
      <c r="P47" s="818"/>
      <c r="Q47" s="818"/>
      <c r="R47" s="818"/>
      <c r="S47" s="818"/>
      <c r="T47" s="818"/>
      <c r="U47" s="818"/>
      <c r="V47" s="818"/>
      <c r="W47" s="818"/>
      <c r="X47" s="1032"/>
      <c r="Y47" s="243"/>
      <c r="Z47" s="243"/>
      <c r="AD47" s="94"/>
      <c r="AE47" s="94"/>
      <c r="BM47" s="1"/>
      <c r="CJ47" s="1"/>
      <c r="CU47" s="253"/>
      <c r="CV47" s="253"/>
      <c r="CY47"/>
      <c r="CZ47"/>
    </row>
    <row r="48" spans="1:118">
      <c r="A48" s="902" t="s">
        <v>492</v>
      </c>
      <c r="B48" s="903"/>
      <c r="C48" s="903"/>
      <c r="D48" s="903"/>
      <c r="E48" s="903"/>
      <c r="F48" s="903"/>
      <c r="G48" s="903"/>
      <c r="H48" s="904"/>
      <c r="I48" s="899">
        <f>(M71+M73+M81+M83+M77+M78+M82)*-1</f>
        <v>0</v>
      </c>
      <c r="J48" s="900"/>
      <c r="K48" s="901"/>
      <c r="L48" s="415"/>
      <c r="M48" s="820" t="s">
        <v>506</v>
      </c>
      <c r="N48" s="821"/>
      <c r="O48" s="821"/>
      <c r="P48" s="821"/>
      <c r="Q48" s="821"/>
      <c r="R48" s="821"/>
      <c r="S48" s="821"/>
      <c r="T48" s="821"/>
      <c r="U48" s="822"/>
      <c r="V48" s="823" t="s">
        <v>224</v>
      </c>
      <c r="W48" s="824"/>
      <c r="X48" s="1033"/>
      <c r="Y48" s="243"/>
      <c r="Z48" s="243"/>
      <c r="AD48" s="94"/>
      <c r="AE48" s="94"/>
      <c r="BM48" s="1"/>
      <c r="CJ48" s="1"/>
      <c r="CU48" s="253"/>
      <c r="CV48" s="253"/>
      <c r="CY48"/>
      <c r="CZ48"/>
    </row>
    <row r="49" spans="1:110">
      <c r="A49" s="837" t="str">
        <f>"Arbejde særligt planlagt for "&amp;A7&amp;" måned efter fanen skemaoplysninger"</f>
        <v>Arbejde særligt planlagt for December måned efter fanen skemaoplysninger</v>
      </c>
      <c r="B49" s="838"/>
      <c r="C49" s="838"/>
      <c r="D49" s="838"/>
      <c r="E49" s="838"/>
      <c r="F49" s="838"/>
      <c r="G49" s="838"/>
      <c r="H49" s="839"/>
      <c r="I49" s="834">
        <f>Skemaoplysninger!O91</f>
        <v>0</v>
      </c>
      <c r="J49" s="835"/>
      <c r="K49" s="836"/>
      <c r="L49" s="416"/>
      <c r="M49" s="805"/>
      <c r="N49" s="806"/>
      <c r="O49" s="806"/>
      <c r="P49" s="806"/>
      <c r="Q49" s="806"/>
      <c r="R49" s="806"/>
      <c r="S49" s="806"/>
      <c r="T49" s="806"/>
      <c r="U49" s="807"/>
      <c r="V49" s="826"/>
      <c r="W49" s="826"/>
      <c r="X49" s="827"/>
      <c r="Y49"/>
      <c r="Z49" s="243"/>
      <c r="AA49" s="243"/>
      <c r="AG49" s="94"/>
      <c r="AH49" s="94"/>
      <c r="BA49" s="243"/>
      <c r="BO49" s="1"/>
      <c r="CL49" s="1"/>
      <c r="CV49" s="253"/>
      <c r="CW49" s="253"/>
      <c r="CY49"/>
      <c r="CZ49"/>
    </row>
    <row r="50" spans="1:110">
      <c r="A50" s="884" t="s">
        <v>296</v>
      </c>
      <c r="B50" s="885"/>
      <c r="C50" s="885"/>
      <c r="D50" s="885"/>
      <c r="E50" s="885"/>
      <c r="F50" s="885"/>
      <c r="G50" s="885"/>
      <c r="H50" s="885"/>
      <c r="I50" s="1027">
        <f>V40+X40-N68-N66-P66</f>
        <v>0</v>
      </c>
      <c r="J50" s="899"/>
      <c r="K50" s="1028"/>
      <c r="L50" s="245"/>
      <c r="M50" s="805"/>
      <c r="N50" s="806"/>
      <c r="O50" s="806"/>
      <c r="P50" s="806"/>
      <c r="Q50" s="806"/>
      <c r="R50" s="806"/>
      <c r="S50" s="806"/>
      <c r="T50" s="806"/>
      <c r="U50" s="807"/>
      <c r="V50" s="808"/>
      <c r="W50" s="809"/>
      <c r="X50" s="810"/>
      <c r="Y50"/>
      <c r="Z50" s="243"/>
      <c r="AA50" s="243"/>
      <c r="AE50" s="94"/>
      <c r="AF50" s="252"/>
      <c r="AG50" s="94"/>
      <c r="BN50" s="1"/>
      <c r="CK50" s="1"/>
      <c r="CV50" s="253"/>
      <c r="CW50" s="253"/>
      <c r="CY50"/>
      <c r="CZ50"/>
    </row>
    <row r="51" spans="1:110" ht="17" thickBot="1">
      <c r="A51" s="266" t="str">
        <f>"Faktisk arbejdstid ialt i "&amp;A7&amp;" måned"</f>
        <v>Faktisk arbejdstid ialt i December måned</v>
      </c>
      <c r="B51" s="330"/>
      <c r="C51" s="331"/>
      <c r="D51" s="331"/>
      <c r="E51" s="331"/>
      <c r="F51" s="331"/>
      <c r="G51" s="331"/>
      <c r="H51" s="332"/>
      <c r="I51" s="840">
        <f>I47+I50+I49+I48</f>
        <v>0</v>
      </c>
      <c r="J51" s="841"/>
      <c r="K51" s="842"/>
      <c r="L51" s="245"/>
      <c r="M51" s="805"/>
      <c r="N51" s="806"/>
      <c r="O51" s="806"/>
      <c r="P51" s="806"/>
      <c r="Q51" s="806"/>
      <c r="R51" s="806"/>
      <c r="S51" s="806"/>
      <c r="T51" s="806"/>
      <c r="U51" s="807"/>
      <c r="V51" s="808"/>
      <c r="W51" s="809"/>
      <c r="X51" s="810"/>
      <c r="Y51" s="243"/>
      <c r="Z51" s="243"/>
      <c r="AA51" s="218"/>
      <c r="AB51" s="252"/>
      <c r="AC51" s="252"/>
      <c r="AD51" s="252"/>
      <c r="AE51" s="243"/>
      <c r="AF51" s="252"/>
      <c r="AH51" s="243"/>
      <c r="AI51" s="243"/>
      <c r="AM51" s="94"/>
      <c r="AN51" s="94"/>
      <c r="BU51" s="1"/>
      <c r="CR51" s="1"/>
      <c r="CY51"/>
      <c r="CZ51"/>
      <c r="DC51" s="253"/>
      <c r="DD51" s="253"/>
    </row>
    <row r="52" spans="1:110" ht="17" thickBot="1">
      <c r="A52" s="260"/>
      <c r="B52" s="260"/>
      <c r="C52" s="260"/>
      <c r="D52" s="260"/>
      <c r="E52" s="260"/>
      <c r="F52" s="260"/>
      <c r="G52" s="260"/>
      <c r="H52" s="260"/>
      <c r="I52" s="577"/>
      <c r="J52" s="577"/>
      <c r="K52" s="577"/>
      <c r="L52" s="551"/>
      <c r="M52" s="805"/>
      <c r="N52" s="806"/>
      <c r="O52" s="806"/>
      <c r="P52" s="806"/>
      <c r="Q52" s="806"/>
      <c r="R52" s="806"/>
      <c r="S52" s="806"/>
      <c r="T52" s="806"/>
      <c r="U52" s="807"/>
      <c r="V52" s="808"/>
      <c r="W52" s="809"/>
      <c r="X52" s="810"/>
      <c r="Y52" s="243"/>
      <c r="Z52" s="243"/>
      <c r="AA52" s="243"/>
      <c r="AB52" s="243"/>
      <c r="AC52" s="218"/>
      <c r="AD52" s="252"/>
      <c r="AE52" s="252"/>
      <c r="AF52" s="252"/>
      <c r="AG52" s="252"/>
      <c r="AH52" s="243"/>
      <c r="AJ52" s="243"/>
      <c r="AK52" s="243"/>
      <c r="AO52" s="94"/>
      <c r="AP52" s="94"/>
      <c r="BW52" s="1"/>
      <c r="CT52" s="1"/>
      <c r="CY52"/>
      <c r="CZ52"/>
      <c r="DE52" s="253"/>
      <c r="DF52" s="253"/>
    </row>
    <row r="53" spans="1:110" ht="35" thickBot="1">
      <c r="A53" s="875" t="s">
        <v>527</v>
      </c>
      <c r="B53" s="876"/>
      <c r="C53" s="876"/>
      <c r="D53" s="876"/>
      <c r="E53" s="876"/>
      <c r="F53" s="876"/>
      <c r="G53" s="876"/>
      <c r="H53" s="670" t="s">
        <v>614</v>
      </c>
      <c r="I53" s="876" t="s">
        <v>526</v>
      </c>
      <c r="J53" s="876"/>
      <c r="K53" s="878"/>
      <c r="L53" s="551"/>
      <c r="M53" s="811" t="s">
        <v>300</v>
      </c>
      <c r="N53" s="812"/>
      <c r="O53" s="812"/>
      <c r="P53" s="812"/>
      <c r="Q53" s="812"/>
      <c r="R53" s="812"/>
      <c r="S53" s="812"/>
      <c r="T53" s="812"/>
      <c r="U53" s="813"/>
      <c r="V53" s="1006">
        <f>V46-SUM(V49:X52)</f>
        <v>0</v>
      </c>
      <c r="W53" s="1007"/>
      <c r="X53" s="1008"/>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905"/>
      <c r="B54" s="906"/>
      <c r="C54" s="906"/>
      <c r="D54" s="906"/>
      <c r="E54" s="906"/>
      <c r="F54" s="906"/>
      <c r="G54" s="906"/>
      <c r="H54" s="666">
        <f>November!H61</f>
        <v>0</v>
      </c>
      <c r="I54" s="978">
        <f>November!I61</f>
        <v>0</v>
      </c>
      <c r="J54" s="978"/>
      <c r="K54" s="979"/>
      <c r="L54" s="551"/>
      <c r="M54" s="578"/>
      <c r="N54" s="578"/>
      <c r="O54" s="578"/>
      <c r="P54" s="578"/>
      <c r="Q54" s="579"/>
      <c r="R54" s="580"/>
      <c r="S54" s="580"/>
      <c r="T54" s="580"/>
      <c r="U54" s="580"/>
      <c r="V54" s="578"/>
      <c r="W54" s="581"/>
      <c r="X54" s="578"/>
      <c r="Y54" s="243"/>
      <c r="Z54" s="243"/>
      <c r="AA54" s="243"/>
      <c r="AB54" s="243"/>
      <c r="AC54" s="218"/>
      <c r="AD54" s="252"/>
      <c r="AE54" s="252"/>
      <c r="AF54" s="252"/>
      <c r="AG54" s="252"/>
      <c r="AH54" s="243"/>
      <c r="AJ54" s="243"/>
      <c r="AK54" s="243"/>
      <c r="AO54" s="94"/>
      <c r="AP54" s="94"/>
      <c r="BW54" s="1"/>
      <c r="CT54" s="1"/>
      <c r="CY54"/>
      <c r="CZ54"/>
      <c r="DE54" s="253"/>
      <c r="DF54" s="253"/>
    </row>
    <row r="55" spans="1:110" ht="16" customHeight="1">
      <c r="A55" s="1013" t="s">
        <v>530</v>
      </c>
      <c r="B55" s="1014"/>
      <c r="C55" s="1014"/>
      <c r="D55" s="1014"/>
      <c r="E55" s="1014"/>
      <c r="F55" s="1014"/>
      <c r="G55" s="1015"/>
      <c r="H55" s="664"/>
      <c r="I55" s="1016"/>
      <c r="J55" s="1017"/>
      <c r="K55" s="1018"/>
      <c r="L55" s="551"/>
      <c r="M55" s="578"/>
      <c r="N55" s="578"/>
      <c r="O55" s="578"/>
      <c r="P55" s="578"/>
      <c r="Q55" s="579"/>
      <c r="R55" s="580"/>
      <c r="S55" s="580"/>
      <c r="T55" s="580"/>
      <c r="U55" s="580"/>
      <c r="V55" s="578"/>
      <c r="W55" s="581"/>
      <c r="X55" s="578"/>
      <c r="Y55" s="243"/>
      <c r="Z55" s="243"/>
      <c r="AA55" s="243"/>
      <c r="AB55" s="243"/>
      <c r="AC55" s="218"/>
      <c r="AD55" s="252"/>
      <c r="AE55" s="252"/>
      <c r="AF55" s="252"/>
      <c r="AG55" s="252"/>
      <c r="AH55" s="243"/>
      <c r="AJ55" s="243"/>
      <c r="AK55" s="243"/>
      <c r="AO55" s="94"/>
      <c r="AP55" s="94"/>
      <c r="BW55" s="1"/>
      <c r="CT55" s="1"/>
      <c r="CY55"/>
      <c r="CZ55"/>
      <c r="DE55" s="253"/>
      <c r="DF55" s="253"/>
    </row>
    <row r="56" spans="1:110" ht="37" customHeight="1">
      <c r="A56" s="802" t="s">
        <v>616</v>
      </c>
      <c r="B56" s="803"/>
      <c r="C56" s="803"/>
      <c r="D56" s="803"/>
      <c r="E56" s="803"/>
      <c r="F56" s="803"/>
      <c r="G56" s="803"/>
      <c r="H56" s="803"/>
      <c r="I56" s="803"/>
      <c r="J56" s="803"/>
      <c r="K56" s="804"/>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0" ht="35" customHeight="1">
      <c r="A57" s="907" t="s">
        <v>615</v>
      </c>
      <c r="B57" s="908"/>
      <c r="C57" s="958" t="s">
        <v>566</v>
      </c>
      <c r="D57" s="959"/>
      <c r="E57" s="960" t="s">
        <v>567</v>
      </c>
      <c r="F57" s="803"/>
      <c r="G57" s="961"/>
      <c r="H57" s="970" t="s">
        <v>528</v>
      </c>
      <c r="I57" s="970"/>
      <c r="J57" s="970"/>
      <c r="K57" s="971"/>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0">
      <c r="A58" s="962"/>
      <c r="B58" s="963"/>
      <c r="C58" s="966"/>
      <c r="D58" s="965"/>
      <c r="E58" s="967"/>
      <c r="F58" s="968"/>
      <c r="G58" s="969"/>
      <c r="H58" s="665"/>
      <c r="I58" s="956"/>
      <c r="J58" s="956"/>
      <c r="K58" s="957"/>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0">
      <c r="A59" s="964"/>
      <c r="B59" s="965"/>
      <c r="C59" s="966"/>
      <c r="D59" s="965"/>
      <c r="E59" s="967"/>
      <c r="F59" s="968"/>
      <c r="G59" s="969"/>
      <c r="H59" s="665"/>
      <c r="I59" s="956"/>
      <c r="J59" s="956"/>
      <c r="K59" s="957"/>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0">
      <c r="A60" s="964"/>
      <c r="B60" s="965"/>
      <c r="C60" s="966"/>
      <c r="D60" s="965"/>
      <c r="E60" s="967"/>
      <c r="F60" s="968"/>
      <c r="G60" s="969"/>
      <c r="H60" s="665"/>
      <c r="I60" s="956"/>
      <c r="J60" s="956"/>
      <c r="K60" s="957"/>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0">
      <c r="A61" s="964"/>
      <c r="B61" s="965"/>
      <c r="C61" s="966"/>
      <c r="D61" s="965"/>
      <c r="E61" s="967"/>
      <c r="F61" s="968"/>
      <c r="G61" s="969"/>
      <c r="H61" s="665"/>
      <c r="I61" s="956"/>
      <c r="J61" s="956"/>
      <c r="K61" s="957"/>
      <c r="L61" s="551"/>
      <c r="M61" s="578"/>
      <c r="N61" s="578"/>
      <c r="O61" s="578"/>
      <c r="P61" s="578"/>
      <c r="Q61" s="579"/>
      <c r="R61" s="580"/>
      <c r="S61" s="580"/>
      <c r="T61" s="580"/>
      <c r="U61" s="580"/>
      <c r="V61" s="578"/>
      <c r="W61" s="581"/>
      <c r="X61" s="578"/>
      <c r="Y61" s="243"/>
      <c r="Z61" s="243"/>
      <c r="AA61" s="243"/>
      <c r="AB61" s="243"/>
      <c r="AC61" s="218"/>
      <c r="AD61" s="252"/>
      <c r="AE61" s="252"/>
      <c r="AF61" s="252"/>
      <c r="AG61" s="252"/>
      <c r="AH61" s="243"/>
      <c r="AJ61" s="243"/>
      <c r="AK61" s="243"/>
      <c r="AO61" s="94"/>
      <c r="AP61" s="94"/>
      <c r="BW61" s="1"/>
      <c r="CT61" s="1"/>
      <c r="CY61"/>
      <c r="CZ61"/>
      <c r="DE61" s="253"/>
      <c r="DF61" s="253"/>
    </row>
    <row r="62" spans="1:110" ht="17" thickBot="1">
      <c r="A62" s="953" t="s">
        <v>529</v>
      </c>
      <c r="B62" s="954"/>
      <c r="C62" s="955"/>
      <c r="D62" s="955"/>
      <c r="E62" s="955"/>
      <c r="F62" s="955"/>
      <c r="G62" s="955"/>
      <c r="H62" s="667">
        <f>H55+H54-SUM(H58:H61)</f>
        <v>0</v>
      </c>
      <c r="I62" s="950">
        <f>I54+I55-SUM(I58:K61)</f>
        <v>0</v>
      </c>
      <c r="J62" s="951"/>
      <c r="K62" s="952"/>
      <c r="L62" s="551"/>
      <c r="M62" s="578"/>
      <c r="N62" s="578"/>
      <c r="O62" s="578"/>
      <c r="P62" s="578"/>
      <c r="Q62" s="579"/>
      <c r="R62" s="580"/>
      <c r="S62" s="580"/>
      <c r="T62" s="580"/>
      <c r="U62" s="580"/>
      <c r="V62" s="578"/>
      <c r="W62" s="581"/>
      <c r="X62" s="578"/>
      <c r="Y62" s="243"/>
      <c r="Z62" s="243"/>
      <c r="AA62" s="243"/>
      <c r="AB62" s="243"/>
      <c r="AC62" s="218"/>
      <c r="AD62" s="252"/>
      <c r="AE62" s="252"/>
      <c r="AF62" s="252"/>
      <c r="AG62" s="252"/>
      <c r="AH62" s="243"/>
      <c r="AJ62" s="243"/>
      <c r="AK62" s="243"/>
      <c r="AO62" s="94"/>
      <c r="AP62" s="94"/>
      <c r="BW62" s="1"/>
      <c r="CT62" s="1"/>
      <c r="CY62"/>
      <c r="CZ62"/>
      <c r="DE62" s="253"/>
      <c r="DF62" s="253"/>
    </row>
    <row r="63" spans="1:110">
      <c r="A63" s="470"/>
      <c r="B63" s="470"/>
      <c r="C63" s="470"/>
      <c r="D63" s="470"/>
      <c r="E63" s="470"/>
      <c r="F63" s="470"/>
      <c r="G63" s="470"/>
      <c r="H63" s="482"/>
      <c r="I63" s="234"/>
      <c r="J63" s="234"/>
      <c r="K63" s="268" t="s">
        <v>297</v>
      </c>
      <c r="L63" s="245"/>
      <c r="M63" s="243"/>
      <c r="N63" s="243"/>
      <c r="O63" s="218"/>
      <c r="P63" s="252"/>
      <c r="Q63" s="252"/>
      <c r="R63" s="252"/>
      <c r="S63" s="243"/>
      <c r="T63" s="252"/>
      <c r="V63" s="243"/>
      <c r="W63" s="243"/>
      <c r="Y63"/>
      <c r="Z63"/>
      <c r="AA63" s="94"/>
      <c r="AB63" s="94"/>
      <c r="BI63" s="1"/>
      <c r="CF63" s="1"/>
      <c r="CQ63" s="253"/>
      <c r="CR63" s="253"/>
      <c r="CY63"/>
      <c r="CZ63"/>
    </row>
    <row r="64" spans="1:110" hidden="1">
      <c r="A64" s="127" t="s">
        <v>209</v>
      </c>
      <c r="B64" s="127"/>
      <c r="C64" s="127"/>
      <c r="D64" s="127">
        <f>COUNTIF([0]!December,"Skema 1")</f>
        <v>13</v>
      </c>
      <c r="E64" s="422"/>
      <c r="F64" s="127" t="s">
        <v>189</v>
      </c>
      <c r="G64" s="127">
        <f>COUNTIFS($B$9:$B$39,"ma",[0]!December,"Skema 1")</f>
        <v>3</v>
      </c>
      <c r="H64" s="122"/>
      <c r="I64" s="94"/>
      <c r="J64" s="315"/>
      <c r="K64" s="245"/>
      <c r="L64" s="245"/>
      <c r="M64" s="243"/>
      <c r="N64" s="243"/>
      <c r="O64" s="218"/>
      <c r="P64" s="252"/>
      <c r="Q64" s="252"/>
      <c r="R64" s="252"/>
      <c r="S64" s="243"/>
      <c r="T64" s="252"/>
      <c r="V64" s="243"/>
      <c r="W64" s="243"/>
      <c r="Y64"/>
      <c r="Z64"/>
      <c r="AA64" s="94"/>
      <c r="AB64" s="94"/>
      <c r="BI64" s="1"/>
      <c r="CF64" s="1"/>
      <c r="CQ64" s="253"/>
      <c r="CR64" s="253"/>
      <c r="CY64"/>
      <c r="CZ64"/>
    </row>
    <row r="65" spans="1:109" hidden="1">
      <c r="A65" s="973" t="s">
        <v>210</v>
      </c>
      <c r="B65" s="973"/>
      <c r="C65" s="973"/>
      <c r="D65" s="127">
        <f>COUNTIF([0]!December,"Skema 2")</f>
        <v>0</v>
      </c>
      <c r="E65" s="422"/>
      <c r="F65" s="127" t="s">
        <v>190</v>
      </c>
      <c r="G65" s="127">
        <f>COUNTIFS($B$9:$B$39,"ti",[0]!December,"Skema 1")</f>
        <v>3</v>
      </c>
      <c r="H65" s="127"/>
      <c r="I65" s="127"/>
      <c r="J65" s="352"/>
      <c r="K65" s="417"/>
      <c r="L65" s="417"/>
      <c r="M65" s="243"/>
      <c r="N65" s="243"/>
      <c r="O65" s="218"/>
      <c r="P65" s="252"/>
      <c r="Q65" s="252"/>
      <c r="R65" s="252"/>
      <c r="S65" s="243"/>
      <c r="T65" s="252"/>
      <c r="V65" s="243"/>
      <c r="W65" s="243"/>
      <c r="Y65"/>
      <c r="Z65"/>
      <c r="AA65" s="94"/>
      <c r="AB65" s="94"/>
      <c r="BI65" s="1"/>
      <c r="CF65" s="1"/>
      <c r="CQ65" s="253"/>
      <c r="CR65" s="253"/>
      <c r="CY65"/>
      <c r="CZ65"/>
    </row>
    <row r="66" spans="1:109" s="552" customFormat="1" hidden="1">
      <c r="A66" s="972" t="s">
        <v>211</v>
      </c>
      <c r="B66" s="972"/>
      <c r="C66" s="972"/>
      <c r="D66" s="547">
        <f>COUNTIF([0]!December,"Skema 3")</f>
        <v>0</v>
      </c>
      <c r="E66" s="549"/>
      <c r="F66" s="547" t="s">
        <v>191</v>
      </c>
      <c r="G66" s="547">
        <f>COUNTIFS($B$9:$B$39,"on",[0]!December,"Skema 1")</f>
        <v>2</v>
      </c>
      <c r="H66" s="547"/>
      <c r="I66" s="547"/>
      <c r="J66" s="550"/>
      <c r="K66" s="551"/>
      <c r="M66" s="567"/>
      <c r="N66" s="550">
        <f>IF($C$9="Ikke relevant",V9,0)+IF($C$10="Ikke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relevant",V37,0)+IF($C$38="Ikke relevant",V38,0)+IF($C$39="Ikke relevant",V39,0)</f>
        <v>0</v>
      </c>
      <c r="O66" s="550">
        <f t="shared" ref="O66:P66" si="40">IF($C$9="Ikke relevant",W9,0)+IF($C$10="Ikke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relevant",W37,0)+IF($C$38="Ikke relevant",W38,0)+IF($C$39="Ikke relevant",W39,0)</f>
        <v>0</v>
      </c>
      <c r="P66" s="550">
        <f t="shared" si="40"/>
        <v>0</v>
      </c>
      <c r="Q66" s="579" t="s">
        <v>622</v>
      </c>
      <c r="R66" s="568"/>
      <c r="S66" s="567"/>
      <c r="T66" s="568"/>
      <c r="V66" s="567"/>
      <c r="W66" s="567"/>
      <c r="AA66" s="547"/>
      <c r="AB66" s="547"/>
      <c r="BI66" s="569"/>
      <c r="CF66" s="569"/>
      <c r="CQ66" s="570"/>
      <c r="CR66" s="570"/>
    </row>
    <row r="67" spans="1:109" s="552" customFormat="1" hidden="1">
      <c r="A67" s="972" t="s">
        <v>212</v>
      </c>
      <c r="B67" s="972"/>
      <c r="C67" s="972"/>
      <c r="D67" s="547">
        <f>COUNTIF([0]!December,"Skema 4")</f>
        <v>0</v>
      </c>
      <c r="E67" s="549"/>
      <c r="F67" s="547" t="s">
        <v>193</v>
      </c>
      <c r="G67" s="547">
        <f>COUNTIFS($B$9:$B$39,"to",[0]!December,"Skema 1")</f>
        <v>2</v>
      </c>
      <c r="H67" s="547"/>
      <c r="I67" s="547" t="s">
        <v>496</v>
      </c>
      <c r="J67" s="550">
        <f>IF(C9="Ikke relevant",R9,0)+IF(C10="Ikke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M67" s="545" t="s">
        <v>327</v>
      </c>
      <c r="N67" s="545" t="s">
        <v>423</v>
      </c>
      <c r="O67" s="545"/>
      <c r="P67" s="545"/>
      <c r="Q67" s="545"/>
      <c r="R67" s="545"/>
      <c r="S67" s="545"/>
      <c r="T67" s="545"/>
      <c r="U67" s="545"/>
      <c r="V67" s="545"/>
      <c r="W67" s="545"/>
      <c r="X67" s="545"/>
      <c r="Y67" s="567"/>
      <c r="Z67" s="567"/>
      <c r="AA67" s="567"/>
      <c r="AB67" s="568"/>
      <c r="AC67" s="568"/>
      <c r="AD67" s="568"/>
      <c r="AE67" s="568"/>
      <c r="AF67" s="568"/>
      <c r="AG67" s="567"/>
      <c r="AI67" s="567"/>
      <c r="AJ67" s="567"/>
      <c r="AN67" s="547"/>
      <c r="AO67" s="547"/>
      <c r="BV67" s="569"/>
      <c r="CS67" s="569"/>
      <c r="DD67" s="570"/>
      <c r="DE67" s="570"/>
    </row>
    <row r="68" spans="1:109" s="552" customFormat="1" hidden="1">
      <c r="A68" s="547" t="s">
        <v>113</v>
      </c>
      <c r="B68" s="547"/>
      <c r="C68" s="547"/>
      <c r="D68" s="547">
        <f>COUNTIF([0]!December,"Fagdag")+COUNTIF([0]!December,"emnedag")</f>
        <v>0</v>
      </c>
      <c r="E68" s="549"/>
      <c r="F68" s="547" t="s">
        <v>192</v>
      </c>
      <c r="G68" s="547">
        <f>COUNTIFS($B$9:$B$39,"fr",[0]!December,"Skema 1")</f>
        <v>3</v>
      </c>
      <c r="H68" s="547"/>
      <c r="I68" s="552" t="s">
        <v>329</v>
      </c>
      <c r="J68" s="550"/>
      <c r="M68" s="551">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68" s="551">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68" s="551"/>
      <c r="P68" s="551"/>
      <c r="Q68" s="571" t="s">
        <v>331</v>
      </c>
      <c r="R68" s="547"/>
      <c r="S68" s="547"/>
      <c r="T68" s="547" t="s">
        <v>332</v>
      </c>
      <c r="U68" s="547"/>
      <c r="V68" s="547"/>
      <c r="W68" s="547"/>
      <c r="X68" s="547"/>
      <c r="Y68" s="567"/>
      <c r="Z68" s="567"/>
      <c r="AA68" s="567"/>
      <c r="AB68" s="568"/>
      <c r="AC68" s="568"/>
      <c r="AD68" s="568"/>
      <c r="AE68" s="568"/>
      <c r="AF68" s="568"/>
      <c r="AG68" s="567"/>
      <c r="AI68" s="567"/>
      <c r="AJ68" s="567"/>
      <c r="AN68" s="547"/>
      <c r="AO68" s="547"/>
      <c r="BV68" s="569"/>
      <c r="CS68" s="569"/>
      <c r="DD68" s="570"/>
      <c r="DE68" s="570"/>
    </row>
    <row r="69" spans="1:109" s="552" customFormat="1" hidden="1">
      <c r="A69" s="553" t="s">
        <v>112</v>
      </c>
      <c r="B69" s="547"/>
      <c r="C69" s="547"/>
      <c r="D69" s="547">
        <f>COUNTIF([0]!December,"Lejrskole")+COUNTIF([0]!December,"Ekskursion")</f>
        <v>0</v>
      </c>
      <c r="E69" s="549"/>
      <c r="F69" s="547"/>
      <c r="G69" s="547"/>
      <c r="H69" s="547"/>
      <c r="I69" s="552" t="s">
        <v>343</v>
      </c>
      <c r="J69" s="550"/>
      <c r="M69" s="551">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69" s="551">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69" s="572">
        <v>0.5</v>
      </c>
      <c r="P69" s="551"/>
      <c r="Q69" s="571" t="s">
        <v>328</v>
      </c>
      <c r="R69" s="547"/>
      <c r="S69" s="547"/>
      <c r="T69" s="547"/>
      <c r="U69" s="547"/>
      <c r="V69" s="547"/>
      <c r="W69" s="547"/>
      <c r="X69" s="547"/>
      <c r="Y69" s="567"/>
      <c r="Z69" s="567"/>
      <c r="AA69" s="567"/>
      <c r="AB69" s="568"/>
      <c r="AC69" s="568"/>
      <c r="AD69" s="568"/>
      <c r="AE69" s="568"/>
      <c r="AF69" s="568"/>
      <c r="AG69" s="567"/>
      <c r="AI69" s="567"/>
      <c r="AJ69" s="567"/>
      <c r="AN69" s="547"/>
      <c r="AO69" s="547"/>
      <c r="BV69" s="569"/>
      <c r="CS69" s="569"/>
      <c r="DD69" s="570"/>
      <c r="DE69" s="570"/>
    </row>
    <row r="70" spans="1:109" s="552" customFormat="1" hidden="1">
      <c r="A70" s="547" t="s">
        <v>111</v>
      </c>
      <c r="B70" s="547"/>
      <c r="C70" s="547"/>
      <c r="D70" s="547">
        <f>COUNTIF([0]!December,"Pæd.dag")</f>
        <v>0</v>
      </c>
      <c r="E70" s="549"/>
      <c r="F70" s="547" t="s">
        <v>194</v>
      </c>
      <c r="G70" s="547">
        <f>COUNTIFS($B$9:$B$39,"ma",[0]!December,"Skema 2")</f>
        <v>0</v>
      </c>
      <c r="H70" s="547"/>
      <c r="I70" s="547" t="s">
        <v>342</v>
      </c>
      <c r="J70" s="550"/>
      <c r="M70" s="551">
        <f>SUM(M68:M69)</f>
        <v>0</v>
      </c>
      <c r="N70" s="551">
        <f>SUM(N68:N69)</f>
        <v>0</v>
      </c>
      <c r="O70" s="551">
        <f>(M70+N70)/2</f>
        <v>0</v>
      </c>
      <c r="P70" s="551">
        <f>SUM(M70:O70)</f>
        <v>0</v>
      </c>
      <c r="Q70" s="571">
        <f>(M70+N70)*25%</f>
        <v>0</v>
      </c>
      <c r="R70" s="547"/>
      <c r="S70" s="547"/>
      <c r="T70" s="547"/>
      <c r="U70" s="547"/>
      <c r="V70" s="547"/>
      <c r="W70" s="547"/>
      <c r="X70" s="547"/>
      <c r="Y70" s="567"/>
      <c r="Z70" s="567"/>
      <c r="AA70" s="567"/>
      <c r="AB70" s="568"/>
      <c r="AC70" s="568"/>
      <c r="AD70" s="568"/>
      <c r="AE70" s="568"/>
      <c r="AG70" s="567"/>
      <c r="AI70" s="567"/>
      <c r="AJ70" s="567"/>
      <c r="AN70" s="547"/>
      <c r="AO70" s="547"/>
      <c r="BV70" s="569"/>
      <c r="CS70" s="569"/>
      <c r="DD70" s="570"/>
      <c r="DE70" s="570"/>
    </row>
    <row r="71" spans="1:109" s="552" customFormat="1" hidden="1">
      <c r="A71" s="547" t="s">
        <v>121</v>
      </c>
      <c r="B71" s="547"/>
      <c r="C71" s="547"/>
      <c r="D71" s="547">
        <f>COUNTIF([0]!December,"Weekend")</f>
        <v>10</v>
      </c>
      <c r="E71" s="549"/>
      <c r="F71" s="547" t="s">
        <v>195</v>
      </c>
      <c r="G71" s="547">
        <f>COUNTIFS($B$9:$B$39,"ti",[0]!December,"Skema 2")</f>
        <v>0</v>
      </c>
      <c r="H71" s="547"/>
      <c r="I71" s="547" t="s">
        <v>482</v>
      </c>
      <c r="J71" s="550"/>
      <c r="M71" s="551">
        <f>IF(Stamoplysninger!$B$26="Weekendtimer og weekendtillæg afspadseres.",M68,0)</f>
        <v>0</v>
      </c>
      <c r="N71" s="551">
        <f>IF(Stamoplysninger!$B$26="Weekendtimer og weekendtillæg afspadseres.",N68,0)</f>
        <v>0</v>
      </c>
      <c r="O71" s="551"/>
      <c r="P71" s="551"/>
      <c r="Q71" s="571" t="s">
        <v>333</v>
      </c>
      <c r="R71" s="547"/>
      <c r="S71" s="547">
        <f>IF(Stamoplysninger!B22="Ulempetillæg afspadseres med 25%(Kræver en aftale imellem ledelsen og den ansatte)",Q70,0)</f>
        <v>0</v>
      </c>
      <c r="T71" s="547">
        <f>IF(Stamoplysninger!B22="Ulempetillæg afspadseres med 25%(Kræver en aftale imellem ledelsen og den ansatte)",(R40+X40)*0.25,0)</f>
        <v>0</v>
      </c>
      <c r="U71" s="547"/>
      <c r="V71" s="547"/>
      <c r="W71" s="547"/>
      <c r="X71" s="547"/>
      <c r="AM71" s="569"/>
      <c r="BJ71" s="569"/>
      <c r="BU71" s="570"/>
      <c r="BV71" s="570"/>
    </row>
    <row r="72" spans="1:109" s="552" customFormat="1" hidden="1">
      <c r="A72" s="547" t="s">
        <v>128</v>
      </c>
      <c r="B72" s="547"/>
      <c r="C72" s="547"/>
      <c r="D72" s="547">
        <f>COUNTIF([0]!December,"SH-dag")</f>
        <v>2</v>
      </c>
      <c r="E72" s="549"/>
      <c r="F72" s="547" t="s">
        <v>196</v>
      </c>
      <c r="G72" s="547">
        <f>COUNTIFS($B$9:$B$39,"on",[0]!December,"Skema 2")</f>
        <v>0</v>
      </c>
      <c r="H72" s="547"/>
      <c r="I72" s="554" t="s">
        <v>483</v>
      </c>
      <c r="J72" s="554"/>
      <c r="K72" s="554"/>
      <c r="L72" s="554"/>
      <c r="M72" s="551">
        <f>IF(Stamoplysninger!$B$26="Weekendtimer og weekendtillæg afspadseres.",O70,0)</f>
        <v>0</v>
      </c>
      <c r="N72" s="551">
        <f>IF(Stamoplysninger!$B$26="Weekendtimer og weekendtillæg afspadseres.",O70,0)</f>
        <v>0</v>
      </c>
      <c r="O72" s="551"/>
      <c r="P72" s="551"/>
      <c r="Q72" s="571" t="s">
        <v>330</v>
      </c>
      <c r="R72" s="547"/>
      <c r="S72" s="547">
        <f>IF(Stamoplysninger!B22="Ulempetillæg udbetales med 25% af nettotimelønnen.",Q70,0)</f>
        <v>0</v>
      </c>
      <c r="T72" s="547">
        <f>IF(Stamoplysninger!B22="Ulempetillæg udbetales med 25% af nettotimelønnen.",(R40+X40)*0.25,0)</f>
        <v>0</v>
      </c>
      <c r="U72" s="547"/>
      <c r="V72" s="547"/>
      <c r="W72" s="547"/>
      <c r="X72" s="547"/>
      <c r="AM72" s="569"/>
      <c r="BJ72" s="569"/>
      <c r="BU72" s="570"/>
      <c r="BV72" s="570"/>
    </row>
    <row r="73" spans="1:109" s="552" customFormat="1" hidden="1">
      <c r="A73" s="547" t="s">
        <v>110</v>
      </c>
      <c r="B73" s="547"/>
      <c r="C73" s="547"/>
      <c r="D73" s="547">
        <f>COUNTIF([0]!December,"Feriedag")</f>
        <v>0</v>
      </c>
      <c r="E73" s="549"/>
      <c r="F73" s="547" t="s">
        <v>197</v>
      </c>
      <c r="G73" s="547">
        <f>COUNTIFS($B$9:$B$39,"to",[0]!December,"Skema 2")</f>
        <v>0</v>
      </c>
      <c r="H73" s="547"/>
      <c r="I73" s="554" t="s">
        <v>484</v>
      </c>
      <c r="J73" s="554"/>
      <c r="K73" s="554"/>
      <c r="L73" s="554"/>
      <c r="M73" s="551">
        <f>IF(Stamoplysninger!$B$26="Weekendtimer og weekendtillæg udbetales.",M68,0)</f>
        <v>0</v>
      </c>
      <c r="N73" s="551">
        <f>IF(Stamoplysninger!$B$26="Weekendtimer og weekendtillæg udbetales.",N68,0)</f>
        <v>0</v>
      </c>
      <c r="O73" s="551"/>
      <c r="P73" s="551"/>
      <c r="Q73" s="571"/>
      <c r="R73" s="547"/>
      <c r="S73" s="547"/>
      <c r="T73" s="547"/>
      <c r="U73" s="547"/>
      <c r="V73" s="547"/>
      <c r="W73" s="547"/>
      <c r="X73" s="547"/>
      <c r="AM73" s="569"/>
      <c r="BJ73" s="569"/>
      <c r="BU73" s="570"/>
      <c r="BV73" s="570"/>
    </row>
    <row r="74" spans="1:109" s="552" customFormat="1" hidden="1">
      <c r="A74" s="547" t="s">
        <v>181</v>
      </c>
      <c r="B74" s="547"/>
      <c r="C74" s="547"/>
      <c r="D74" s="547">
        <f>COUNTIF([0]!December,"Nul-dag")</f>
        <v>6</v>
      </c>
      <c r="E74" s="549"/>
      <c r="F74" s="547" t="s">
        <v>198</v>
      </c>
      <c r="G74" s="547">
        <f>COUNTIFS($B$9:$B$39,"fr",[0]!December,"Skema 2")</f>
        <v>0</v>
      </c>
      <c r="H74" s="547"/>
      <c r="I74" s="554" t="s">
        <v>485</v>
      </c>
      <c r="J74" s="554"/>
      <c r="K74" s="554"/>
      <c r="L74" s="554"/>
      <c r="M74" s="551">
        <f>IF(Stamoplysninger!$B$26="Weekendtimer og weekendtillæg udbetales.",O70,0)</f>
        <v>0</v>
      </c>
      <c r="N74" s="551">
        <f>IF(Stamoplysninger!$B$26="Weekendtimer og weekendtillæg udbetales.",O70,0)</f>
        <v>0</v>
      </c>
      <c r="O74" s="551"/>
      <c r="P74" s="551"/>
      <c r="Q74" s="571"/>
      <c r="R74" s="547"/>
      <c r="S74" s="547"/>
      <c r="T74" s="547"/>
      <c r="U74" s="547"/>
      <c r="V74" s="547"/>
      <c r="W74" s="547"/>
      <c r="X74" s="547"/>
      <c r="AM74" s="569"/>
      <c r="BJ74" s="569"/>
      <c r="BU74" s="570"/>
      <c r="BV74" s="570"/>
    </row>
    <row r="75" spans="1:109" s="552" customFormat="1" hidden="1">
      <c r="A75" s="555" t="s">
        <v>444</v>
      </c>
      <c r="B75" s="547"/>
      <c r="C75" s="547"/>
      <c r="D75" s="547">
        <f>COUNTIF([0]!December,"Orlov")</f>
        <v>0</v>
      </c>
      <c r="E75" s="549"/>
      <c r="F75" s="556"/>
      <c r="G75" s="556"/>
      <c r="H75" s="556"/>
      <c r="I75" s="554" t="s">
        <v>334</v>
      </c>
      <c r="J75" s="554"/>
      <c r="K75" s="554"/>
      <c r="L75" s="554"/>
      <c r="M75" s="551">
        <f>IF(Stamoplysninger!$B$26="Der er indgået lokalaftale omkring weekendtimer.(Kræver aftale med TR/FSL) Weekendtillæg afspadseres.",O70,0)</f>
        <v>0</v>
      </c>
      <c r="N75" s="551">
        <f>IF(Stamoplysninger!$B$26="Der er indgået lokalaftale omkring weekendtimer.(Kræver aftale med TR/FSL) Weekendtillæg afspadseres.",N68,0)</f>
        <v>0</v>
      </c>
      <c r="O75" s="551"/>
      <c r="P75" s="551"/>
      <c r="Q75" s="571"/>
      <c r="R75" s="547"/>
      <c r="S75" s="547"/>
      <c r="T75" s="547"/>
      <c r="U75" s="547"/>
      <c r="V75" s="547"/>
      <c r="W75" s="547"/>
      <c r="X75" s="547"/>
      <c r="AM75" s="569"/>
      <c r="BJ75" s="569"/>
      <c r="BU75" s="570"/>
      <c r="BV75" s="570"/>
    </row>
    <row r="76" spans="1:109" s="552" customFormat="1" hidden="1">
      <c r="A76" s="547" t="s">
        <v>161</v>
      </c>
      <c r="B76" s="547"/>
      <c r="C76" s="547"/>
      <c r="D76" s="547">
        <f>COUNTIF([0]!December,"Ikke relevant")</f>
        <v>0</v>
      </c>
      <c r="E76" s="549"/>
      <c r="F76" s="547" t="s">
        <v>199</v>
      </c>
      <c r="G76" s="547">
        <f>COUNTIFS($B$9:$B$39,"ma",[0]!December,"Skema 3")</f>
        <v>0</v>
      </c>
      <c r="H76" s="547">
        <v>1</v>
      </c>
      <c r="I76" s="554" t="s">
        <v>335</v>
      </c>
      <c r="J76" s="554"/>
      <c r="K76" s="554"/>
      <c r="L76" s="554"/>
      <c r="M76" s="551">
        <f>IF(Stamoplysninger!$B$26="Der er indgået lokalaftale omkring weekendtimer(Kræver aftale med TR/FSL). Weekendtillæg udbetales.",O70,0)</f>
        <v>0</v>
      </c>
      <c r="N76" s="551">
        <f>IF(Stamoplysninger!$B$26="Der er indgået lokalaftale omkring weekendtimer(Kræver aftale med TR/FSL). Weekendtillæg udbetales.",N68,0)</f>
        <v>0</v>
      </c>
      <c r="O76" s="551"/>
      <c r="P76" s="551"/>
      <c r="Q76" s="571"/>
      <c r="R76" s="547"/>
      <c r="S76" s="547"/>
      <c r="T76" s="547"/>
      <c r="U76" s="547"/>
      <c r="V76" s="547"/>
      <c r="W76" s="547"/>
      <c r="X76" s="547"/>
      <c r="AM76" s="569"/>
      <c r="BJ76" s="569"/>
      <c r="BU76" s="570"/>
      <c r="BV76" s="570"/>
    </row>
    <row r="77" spans="1:109" s="552" customFormat="1" hidden="1">
      <c r="A77" s="547" t="s">
        <v>109</v>
      </c>
      <c r="B77" s="547"/>
      <c r="C77" s="547"/>
      <c r="D77" s="547">
        <f>SUM(D64:D76)</f>
        <v>31</v>
      </c>
      <c r="E77" s="547"/>
      <c r="F77" s="547" t="s">
        <v>200</v>
      </c>
      <c r="G77" s="547">
        <f>COUNTIFS($B$9:$B$39,"ti",[0]!December,"Skema 3")</f>
        <v>0</v>
      </c>
      <c r="H77" s="547">
        <v>2</v>
      </c>
      <c r="I77" s="554" t="s">
        <v>487</v>
      </c>
      <c r="J77" s="554"/>
      <c r="K77" s="554"/>
      <c r="L77" s="554"/>
      <c r="M77" s="551">
        <f>IF(Stamoplysninger!$B$26="Der er indgået lokalaftale omkring weekendtimer.(Kræver aftale med TR/FSL) Weekendtillæg afspadseres.",M68,0)</f>
        <v>0</v>
      </c>
      <c r="N77" s="551">
        <f>IF(Stamoplysninger!$B$26="Der er indgået lokalaftale omkring weekendtimer.(Kræver aftale med TR/FSL) Weekendtillæg afspadseres.",O70,0)</f>
        <v>0</v>
      </c>
      <c r="Z77" s="569"/>
      <c r="AX77" s="569"/>
      <c r="BI77" s="570"/>
      <c r="BJ77" s="570"/>
    </row>
    <row r="78" spans="1:109" s="552" customFormat="1" hidden="1">
      <c r="A78" s="547" t="s">
        <v>242</v>
      </c>
      <c r="B78" s="547"/>
      <c r="C78" s="547"/>
      <c r="D78" s="547">
        <f>D77-D71-A87-D76</f>
        <v>21</v>
      </c>
      <c r="E78" s="557"/>
      <c r="F78" s="547" t="s">
        <v>201</v>
      </c>
      <c r="G78" s="547">
        <f>COUNTIFS($B$9:$B$39,"on",[0]!December,"Skema 3")</f>
        <v>0</v>
      </c>
      <c r="H78" s="547"/>
      <c r="I78" s="554" t="s">
        <v>488</v>
      </c>
      <c r="J78" s="554"/>
      <c r="K78" s="554"/>
      <c r="L78" s="554"/>
      <c r="M78" s="551">
        <f>IF(Stamoplysninger!$B$26="Der er indgået lokalaftale omkring weekendtimer(Kræver aftale med TR/FSL). Weekendtillæg udbetales.",M68,0)</f>
        <v>0</v>
      </c>
      <c r="N78" s="551">
        <f>IF(Stamoplysninger!$B$26="Der er indgået lokalaftale omkring weekendtimer(Kræver aftale med TR/FSL). Weekendtillæg udbetales.",O70,0)</f>
        <v>0</v>
      </c>
      <c r="Z78" s="569"/>
      <c r="AX78" s="569"/>
      <c r="BI78" s="570"/>
      <c r="BJ78" s="570"/>
    </row>
    <row r="79" spans="1:109" s="552" customFormat="1" hidden="1">
      <c r="A79" s="547"/>
      <c r="B79" s="547"/>
      <c r="C79" s="547"/>
      <c r="D79" s="547"/>
      <c r="E79" s="547"/>
      <c r="F79" s="547" t="s">
        <v>202</v>
      </c>
      <c r="G79" s="547">
        <f>COUNTIFS($B$9:$B$39,"to",[0]!December,"Skema 3")</f>
        <v>0</v>
      </c>
      <c r="H79" s="547"/>
      <c r="I79" s="554" t="s">
        <v>336</v>
      </c>
      <c r="J79" s="554"/>
      <c r="K79" s="554"/>
      <c r="L79" s="554"/>
      <c r="M79" s="551">
        <f>IF(Stamoplysninger!$B$26="Der er indgået lokalaftale omkring weekendtillæg(Kræver aftale med TR/FSL). Weekendtimerne afspadseres.",M68,0)</f>
        <v>0</v>
      </c>
      <c r="N79" s="551">
        <f>IF(Stamoplysninger!$B$26="Der er indgået lokalaftale omkring weekendtillæg(Kræver aftale med TR/FSL). Weekendtimerne afspadseres.",N68,0)</f>
        <v>0</v>
      </c>
      <c r="Z79" s="569"/>
      <c r="AX79" s="569"/>
      <c r="BI79" s="570"/>
      <c r="BJ79" s="570"/>
    </row>
    <row r="80" spans="1:109" s="552" customFormat="1" hidden="1">
      <c r="A80" s="547"/>
      <c r="B80" s="547"/>
      <c r="C80" s="547"/>
      <c r="D80" s="547"/>
      <c r="E80" s="547"/>
      <c r="F80" s="547" t="s">
        <v>203</v>
      </c>
      <c r="G80" s="547">
        <f>COUNTIFS($B$9:$B$39,"fr",[0]!December,"Skema 3")</f>
        <v>0</v>
      </c>
      <c r="H80" s="547">
        <v>1</v>
      </c>
      <c r="I80" s="554" t="s">
        <v>337</v>
      </c>
      <c r="J80" s="554"/>
      <c r="K80" s="554"/>
      <c r="L80" s="554"/>
      <c r="M80" s="551">
        <f>IF(Stamoplysninger!$B$26="Der er indgået lokalaftale omkring weekendtillæg(Kræver aftale med TR/FSL). Weekendtimerne udbetales.",M68,0)</f>
        <v>0</v>
      </c>
      <c r="N80" s="551">
        <f>IF(Stamoplysninger!$B$26="Der er indgået lokalaftale omkring weekendtillæg(Kræver aftale med TR/FSL). Weekendtimerne udbetales.",N68,0)</f>
        <v>0</v>
      </c>
      <c r="Z80" s="569"/>
      <c r="AX80" s="569"/>
      <c r="BI80" s="570"/>
      <c r="BJ80" s="570"/>
    </row>
    <row r="81" spans="1:111" s="552" customFormat="1" hidden="1">
      <c r="A81" s="547" t="s">
        <v>298</v>
      </c>
      <c r="B81" s="547"/>
      <c r="C81" s="547"/>
      <c r="D81" s="547"/>
      <c r="E81" s="547"/>
      <c r="F81" s="547"/>
      <c r="G81" s="547"/>
      <c r="H81" s="547">
        <v>2</v>
      </c>
      <c r="I81" s="554" t="s">
        <v>489</v>
      </c>
      <c r="J81" s="554"/>
      <c r="K81" s="554"/>
      <c r="L81" s="554"/>
      <c r="M81" s="551">
        <f>IF(Stamoplysninger!$B$26="Der er indgået lokalaftale omkring weekendtillæg(Kræver aftale med TR/FSL). Weekendtimerne afspadseres.",M68,0)</f>
        <v>0</v>
      </c>
      <c r="N81" s="551">
        <f>IF(Stamoplysninger!$B$26="Der er indgået lokalaftale omkring weekendtillæg(Kræver aftale med TR/FSL). Weekendtimerne afspadseres.",N68,0)</f>
        <v>0</v>
      </c>
      <c r="Z81" s="569"/>
      <c r="AX81" s="569"/>
      <c r="BI81" s="570"/>
      <c r="BJ81" s="570"/>
    </row>
    <row r="82" spans="1:111" s="552" customFormat="1" hidden="1">
      <c r="A82" s="547">
        <f>COUNTIF($C$10:$C$11,"Skema 1")+COUNTIF($C$10:$C$11,"Skema 2")+COUNTIF($C$10:$C$11,"Skema 3")+COUNTIF($C$10:$C$11,"Skema 4")+COUNTIF($C$10:$C$11,"Fagdag")+COUNTIF($C$10:$C$11,"Emnedag")+COUNTIF($C$10:$C$11,"Lejrskole")+COUNTIF($C$10:$C$11,"Ekskursion")+COUNTIF($C$10:$C$11,"Pæd.dag")</f>
        <v>0</v>
      </c>
      <c r="B82" s="547"/>
      <c r="C82" s="547"/>
      <c r="D82" s="547"/>
      <c r="E82" s="547"/>
      <c r="F82" s="547" t="s">
        <v>204</v>
      </c>
      <c r="G82" s="547">
        <f>COUNTIFS($B$9:$B$39,"ma",[0]!December,"Skema 4")</f>
        <v>0</v>
      </c>
      <c r="H82" s="547"/>
      <c r="I82" s="554" t="s">
        <v>490</v>
      </c>
      <c r="J82" s="554"/>
      <c r="K82" s="554"/>
      <c r="L82" s="554"/>
      <c r="M82" s="551">
        <f>IF(Stamoplysninger!$B$26="Der er indgået lokalaftale omkring weekendtillæg(Kræver aftale med TR/FSL). Weekendtimerne udbetales.",M68,0)</f>
        <v>0</v>
      </c>
      <c r="N82" s="551">
        <f>IF(Stamoplysninger!$B$26="Der er indgået lokalaftale omkring weekendtillæg(Kræver aftale med TR/FSL). Weekendtimerne udbetales.",N68,0)</f>
        <v>0</v>
      </c>
      <c r="Z82" s="569"/>
      <c r="AX82" s="569"/>
      <c r="BI82" s="570"/>
      <c r="BJ82" s="570"/>
    </row>
    <row r="83" spans="1:111" s="552" customFormat="1" hidden="1">
      <c r="A83" s="547">
        <f>COUNTIF($C$17:$C$18,"Skema 1")+COUNTIF($C$17:$C$18,"Skema 2")+COUNTIF($C$17:$C$18,"Skema 3")+COUNTIF($C$17:$C$18,"Skema 4")+COUNTIF($C$17:$C$18,"Fagdag")+COUNTIF($C$17:$C$18,"Emnedag")+COUNTIF($C$17:$C$18,"Lejrskole")+COUNTIF($C$17:$C$18,"Ekskursion")+COUNTIF($C$17:$C$18,"Pæd.dag")</f>
        <v>0</v>
      </c>
      <c r="B83" s="547"/>
      <c r="C83" s="547"/>
      <c r="D83" s="547"/>
      <c r="E83" s="547"/>
      <c r="F83" s="547" t="s">
        <v>205</v>
      </c>
      <c r="G83" s="547">
        <f>COUNTIFS($B$9:$B$39,"ti",[0]!December,"Skema 4")</f>
        <v>0</v>
      </c>
      <c r="H83" s="547"/>
      <c r="I83" s="547" t="s">
        <v>486</v>
      </c>
      <c r="M83" s="551">
        <f>IF(Stamoplysninger!$B$26="Der er indgået lokalaftale omkring weekendtimer og weekendtillæg.(Kræver aftale med TR/FSL).",M68,0)</f>
        <v>0</v>
      </c>
      <c r="N83" s="551"/>
      <c r="Z83" s="569"/>
      <c r="AX83" s="569"/>
      <c r="BI83" s="570"/>
      <c r="BJ83" s="570"/>
    </row>
    <row r="84" spans="1:111" s="552" customFormat="1" hidden="1">
      <c r="A84" s="547">
        <f>COUNTIF($C$24:$C$25,"Skema 1")+COUNTIF($C$24:$C$25,"Skema 2")+COUNTIF($C$24:$C$25,"Skema 3")+COUNTIF($C$24:$C$25,"Skema 4")+COUNTIF($C$24:$C$25,"Fagdag")+COUNTIF($C$24:$C$25,"Emnedag")+COUNTIF($C$24:$C$25,"Lejrskole")+COUNTIF($C$24:$C$25,"Ekskursion")+COUNTIF($C$24:$C$25,"Pæd.dag")</f>
        <v>0</v>
      </c>
      <c r="B84" s="547"/>
      <c r="C84" s="547"/>
      <c r="D84" s="547"/>
      <c r="E84" s="547"/>
      <c r="F84" s="547" t="s">
        <v>206</v>
      </c>
      <c r="G84" s="547">
        <f>COUNTIFS($B$9:$B$39,"on",[0]!December,"Skema 4")</f>
        <v>0</v>
      </c>
      <c r="H84" s="547"/>
      <c r="I84" s="547"/>
      <c r="Z84" s="569"/>
      <c r="AX84" s="569"/>
      <c r="BI84" s="570"/>
      <c r="BJ84" s="570"/>
    </row>
    <row r="85" spans="1:111" hidden="1">
      <c r="A85" s="547">
        <f>COUNTIF($C$31:$C$32,"Skema 1")+COUNTIF($C$31:$C$32,"Skema 2")+COUNTIF($C$31:$C$32,"Skema 3")+COUNTIF($C$31:$C$32,"Skema 4")+COUNTIF($C$31:$C$32,"Fagdag")+COUNTIF($C$31:$C$32,"Emnedag")+COUNTIF($C$31:$C$32,"Lejrskole")+COUNTIF($C$31:$C$32,"Ekskursion")+COUNTIF($C$31:$C$32,"Pæd.dag")</f>
        <v>0</v>
      </c>
      <c r="B85" s="127"/>
      <c r="C85" s="127"/>
      <c r="D85" s="127"/>
      <c r="E85" s="127"/>
      <c r="F85" s="127" t="s">
        <v>207</v>
      </c>
      <c r="G85" s="127">
        <f>COUNTIFS($B$9:$B$39,"to",[0]!December,"Skema 4")</f>
        <v>0</v>
      </c>
      <c r="H85" s="127"/>
      <c r="I85" s="127"/>
      <c r="J85" s="44"/>
      <c r="K85" s="44"/>
      <c r="L85" s="44"/>
      <c r="Y85"/>
      <c r="Z85"/>
      <c r="AO85" s="1">
        <f>SUM(N85:AN85)</f>
        <v>0</v>
      </c>
      <c r="BL85" s="1">
        <f>SUM(AI85:BK85)</f>
        <v>0</v>
      </c>
      <c r="BW85" s="253"/>
      <c r="BX85" s="253"/>
      <c r="CY85"/>
      <c r="CZ85"/>
    </row>
    <row r="86" spans="1:111" hidden="1">
      <c r="A86" s="547">
        <f>COUNTIF($C$38:$C$39,"Skema 1")+COUNTIF($C$38:$C$39,"Skema 2")+COUNTIF($C$38:$C$39,"Skema 3")+COUNTIF($C$38:$C$39,"Skema 4")+COUNTIF($C$38:$C$39,"Fagdag")+COUNTIF($C$38:$C$39,"Emnedag")+COUNTIF($C$38:$C$39,"Lejrskole")+COUNTIF($C$38:$C$39,"Ekskursion")+COUNTIF($C$38:$C$39,"Pæd.dag")</f>
        <v>0</v>
      </c>
      <c r="B86" s="127"/>
      <c r="C86" s="127"/>
      <c r="D86" s="127"/>
      <c r="E86" s="127"/>
      <c r="F86" s="127" t="s">
        <v>208</v>
      </c>
      <c r="G86" s="127">
        <f>COUNTIFS($B$9:$B$39,"fr",[0]!December,"Skema 4")</f>
        <v>0</v>
      </c>
      <c r="H86" s="127"/>
      <c r="I86" s="44"/>
      <c r="J86" s="44"/>
      <c r="K86" s="44"/>
      <c r="L86" s="44"/>
      <c r="Y86"/>
      <c r="Z86"/>
      <c r="AO86" s="1">
        <f>SUM(N86:AN86)</f>
        <v>0</v>
      </c>
      <c r="BL86" s="1">
        <f>SUM(AI86:BK86)</f>
        <v>0</v>
      </c>
      <c r="BW86" s="253"/>
      <c r="BX86" s="253"/>
      <c r="CY86"/>
      <c r="CZ86"/>
    </row>
    <row r="87" spans="1:111" hidden="1">
      <c r="A87" s="547">
        <f>SUM(A82:A86)</f>
        <v>0</v>
      </c>
      <c r="B87" s="127"/>
      <c r="C87" s="127"/>
      <c r="D87" s="127"/>
      <c r="E87" s="127"/>
      <c r="F87" s="127"/>
      <c r="G87" s="423">
        <f>SUM(G64:G86)</f>
        <v>13</v>
      </c>
      <c r="H87" s="44"/>
      <c r="I87" s="44"/>
      <c r="J87" s="44"/>
      <c r="K87" s="44"/>
      <c r="L87" s="44"/>
      <c r="Y87"/>
      <c r="Z87"/>
      <c r="AO87" s="1">
        <f>SUM(N87:AN87)</f>
        <v>0</v>
      </c>
      <c r="BL87" s="1">
        <f>SUM(AI87:BK87)</f>
        <v>0</v>
      </c>
      <c r="BW87" s="253"/>
      <c r="BX87" s="253"/>
      <c r="CY87"/>
      <c r="CZ87"/>
    </row>
    <row r="88" spans="1:111" hidden="1">
      <c r="A88" s="44"/>
      <c r="B88" s="44"/>
      <c r="C88" s="44"/>
      <c r="D88" s="44"/>
      <c r="E88" s="127"/>
      <c r="F88" s="127"/>
      <c r="G88" s="127"/>
      <c r="H88" s="44"/>
      <c r="I88" s="44"/>
      <c r="J88" s="44"/>
      <c r="K88" s="44"/>
      <c r="L88" s="44"/>
      <c r="Y88"/>
      <c r="Z88"/>
      <c r="AO88" s="1">
        <f>SUM(N88:AN88)</f>
        <v>0</v>
      </c>
      <c r="BL88" s="1">
        <f>SUM(AI88:BK88)</f>
        <v>0</v>
      </c>
      <c r="BW88" s="253"/>
      <c r="BX88" s="253"/>
      <c r="CY88"/>
      <c r="CZ88"/>
    </row>
    <row r="89" spans="1:111">
      <c r="A89" s="44"/>
      <c r="B89" s="44"/>
      <c r="C89" s="44"/>
      <c r="D89" s="44"/>
      <c r="E89" s="127"/>
      <c r="F89" s="127"/>
      <c r="G89" s="127"/>
      <c r="H89" s="44"/>
      <c r="I89" s="44"/>
      <c r="J89" s="44"/>
      <c r="K89" s="44"/>
      <c r="L89" s="44"/>
      <c r="Y89"/>
      <c r="Z89"/>
      <c r="BW89" s="253"/>
      <c r="BX89" s="253"/>
      <c r="CY89"/>
      <c r="CZ89"/>
    </row>
    <row r="90" spans="1:111">
      <c r="A90" s="44"/>
      <c r="B90" s="44"/>
      <c r="C90" s="44"/>
      <c r="D90" s="44"/>
      <c r="E90" s="127"/>
      <c r="F90" s="127"/>
      <c r="G90" s="127"/>
      <c r="H90" s="44"/>
      <c r="I90" s="44"/>
      <c r="J90" s="44"/>
      <c r="K90" s="44"/>
      <c r="L90" s="44"/>
      <c r="Y90"/>
      <c r="Z90"/>
      <c r="BW90" s="253"/>
      <c r="BX90" s="253"/>
      <c r="CY90"/>
      <c r="CZ90"/>
    </row>
    <row r="91" spans="1:111">
      <c r="A91" s="44"/>
      <c r="B91" s="44"/>
      <c r="C91" s="44"/>
      <c r="D91" s="44"/>
      <c r="E91" s="127"/>
      <c r="F91" s="127"/>
      <c r="G91" s="127"/>
      <c r="H91" s="44"/>
      <c r="I91" s="44"/>
      <c r="J91" s="44"/>
      <c r="K91" s="44"/>
      <c r="L91" s="44"/>
      <c r="Y91"/>
      <c r="Z91"/>
      <c r="BW91" s="253"/>
      <c r="BX91" s="253"/>
      <c r="CY91"/>
      <c r="CZ91"/>
    </row>
    <row r="92" spans="1:111">
      <c r="A92" s="44"/>
      <c r="B92" s="44"/>
      <c r="C92" s="44"/>
      <c r="D92" s="44"/>
      <c r="E92" s="127"/>
      <c r="F92" s="127"/>
      <c r="G92" s="127"/>
      <c r="H92" s="44"/>
      <c r="I92" s="44"/>
      <c r="J92" s="44"/>
      <c r="K92" s="44"/>
      <c r="L92" s="44"/>
      <c r="Y92"/>
      <c r="Z92"/>
      <c r="BW92" s="253"/>
      <c r="BX92" s="253"/>
      <c r="CY92"/>
      <c r="CZ92"/>
    </row>
    <row r="93" spans="1:111">
      <c r="A93" s="44"/>
      <c r="B93" s="44"/>
      <c r="C93" s="44"/>
      <c r="D93" s="44"/>
      <c r="E93" s="127"/>
      <c r="F93" s="127"/>
      <c r="G93" s="127"/>
      <c r="H93" s="44"/>
      <c r="I93" s="44"/>
      <c r="J93" s="44"/>
      <c r="K93" s="44"/>
      <c r="L93" s="44"/>
      <c r="Y93"/>
      <c r="Z93"/>
      <c r="AF93" s="235"/>
      <c r="BW93" s="253"/>
      <c r="BX93" s="253"/>
      <c r="CY93"/>
      <c r="CZ93"/>
    </row>
    <row r="94" spans="1:111">
      <c r="A94" s="477"/>
      <c r="B94" s="477"/>
      <c r="C94" s="477"/>
      <c r="D94" s="477"/>
      <c r="E94" s="122"/>
      <c r="F94" s="122"/>
      <c r="G94" s="122"/>
      <c r="H94" s="477"/>
      <c r="I94" s="477"/>
      <c r="Y94"/>
      <c r="Z94"/>
      <c r="AD94" s="4"/>
      <c r="AE94" s="235"/>
      <c r="AF94" s="235"/>
      <c r="AG94" s="235"/>
      <c r="AH94" s="235"/>
      <c r="CY94"/>
      <c r="CZ94"/>
      <c r="DF94" s="253"/>
      <c r="DG94" s="253"/>
    </row>
    <row r="95" spans="1:111">
      <c r="A95" s="477"/>
      <c r="B95" s="477"/>
      <c r="C95" s="477"/>
      <c r="D95" s="477"/>
      <c r="E95" s="122"/>
      <c r="F95" s="122"/>
      <c r="G95" s="122"/>
      <c r="H95" s="477"/>
      <c r="I95" s="477"/>
      <c r="Y95"/>
      <c r="Z95"/>
      <c r="AD95" s="4"/>
      <c r="AE95" s="235"/>
      <c r="AG95" s="235"/>
      <c r="AH95" s="235"/>
      <c r="CY95"/>
      <c r="CZ95"/>
      <c r="DF95" s="253"/>
      <c r="DG95" s="253"/>
    </row>
    <row r="96" spans="1:111">
      <c r="A96" s="477"/>
      <c r="B96" s="477"/>
      <c r="C96" s="477"/>
      <c r="D96" s="477"/>
      <c r="E96" s="122"/>
      <c r="F96" s="122"/>
      <c r="G96" s="122"/>
      <c r="H96" s="477"/>
      <c r="I96" s="477"/>
    </row>
    <row r="97" spans="1:9">
      <c r="A97" s="477"/>
      <c r="B97" s="477"/>
      <c r="C97" s="477"/>
      <c r="D97" s="477"/>
      <c r="E97" s="122"/>
      <c r="F97" s="122"/>
      <c r="G97" s="122"/>
      <c r="H97" s="477"/>
      <c r="I97" s="477"/>
    </row>
    <row r="98" spans="1:9">
      <c r="A98" s="477"/>
      <c r="B98" s="477"/>
      <c r="C98" s="477"/>
      <c r="D98" s="477"/>
      <c r="E98" s="477"/>
      <c r="F98" s="477"/>
      <c r="G98" s="477"/>
      <c r="H98" s="477"/>
    </row>
    <row r="99" spans="1:9">
      <c r="A99" s="477"/>
      <c r="B99" s="477"/>
      <c r="C99" s="477"/>
      <c r="D99" s="477"/>
      <c r="E99" s="477"/>
      <c r="F99" s="477"/>
      <c r="G99" s="477"/>
      <c r="H99" s="477"/>
    </row>
    <row r="100" spans="1:9">
      <c r="A100" s="477"/>
      <c r="B100" s="477"/>
      <c r="C100" s="477"/>
      <c r="D100" s="477"/>
      <c r="E100" s="477"/>
      <c r="F100" s="477"/>
      <c r="G100" s="477"/>
      <c r="H100" s="477"/>
    </row>
    <row r="101" spans="1:9">
      <c r="A101" s="477"/>
      <c r="B101" s="477"/>
      <c r="C101" s="477"/>
      <c r="D101" s="477"/>
    </row>
  </sheetData>
  <sheetProtection sheet="1" objects="1" scenarios="1"/>
  <mergeCells count="142">
    <mergeCell ref="A61:B61"/>
    <mergeCell ref="A55:G55"/>
    <mergeCell ref="I55:K55"/>
    <mergeCell ref="I58:K58"/>
    <mergeCell ref="A59:B59"/>
    <mergeCell ref="C59:D59"/>
    <mergeCell ref="E59:G59"/>
    <mergeCell ref="I59:K59"/>
    <mergeCell ref="A60:B60"/>
    <mergeCell ref="C60:D60"/>
    <mergeCell ref="E60:G60"/>
    <mergeCell ref="I60:K60"/>
    <mergeCell ref="C61:D61"/>
    <mergeCell ref="E61:G61"/>
    <mergeCell ref="I61:K61"/>
    <mergeCell ref="I53:K53"/>
    <mergeCell ref="M53:U53"/>
    <mergeCell ref="V53:X53"/>
    <mergeCell ref="I54:K54"/>
    <mergeCell ref="B2:E2"/>
    <mergeCell ref="E4:G4"/>
    <mergeCell ref="K4:L4"/>
    <mergeCell ref="A5:R5"/>
    <mergeCell ref="P6:P7"/>
    <mergeCell ref="Q6:Q7"/>
    <mergeCell ref="R6:R7"/>
    <mergeCell ref="A4:D4"/>
    <mergeCell ref="S5:X5"/>
    <mergeCell ref="A3:X3"/>
    <mergeCell ref="E12:G12"/>
    <mergeCell ref="E13:G13"/>
    <mergeCell ref="E14:G14"/>
    <mergeCell ref="E15:G15"/>
    <mergeCell ref="E16:G16"/>
    <mergeCell ref="E23:G23"/>
    <mergeCell ref="E24:G24"/>
    <mergeCell ref="E11:G11"/>
    <mergeCell ref="K8:R8"/>
    <mergeCell ref="M52:U52"/>
    <mergeCell ref="V52:X52"/>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AG6:AK6"/>
    <mergeCell ref="E6:G8"/>
    <mergeCell ref="K6:L6"/>
    <mergeCell ref="N6:N7"/>
    <mergeCell ref="O6:O7"/>
    <mergeCell ref="E25:G25"/>
    <mergeCell ref="I8:J8"/>
    <mergeCell ref="AA6:AE6"/>
    <mergeCell ref="E29:G29"/>
    <mergeCell ref="E30:G30"/>
    <mergeCell ref="E31:G31"/>
    <mergeCell ref="E33:G33"/>
    <mergeCell ref="E34:G34"/>
    <mergeCell ref="E35:G35"/>
    <mergeCell ref="E26:G26"/>
    <mergeCell ref="I6:I7"/>
    <mergeCell ref="J6:J7"/>
    <mergeCell ref="S6:X6"/>
    <mergeCell ref="S8:U8"/>
    <mergeCell ref="V8:X8"/>
    <mergeCell ref="E17:G17"/>
    <mergeCell ref="E18:G18"/>
    <mergeCell ref="E19:G19"/>
    <mergeCell ref="E20:G20"/>
    <mergeCell ref="E21:G21"/>
    <mergeCell ref="E22:G22"/>
    <mergeCell ref="M45:U45"/>
    <mergeCell ref="E27:G27"/>
    <mergeCell ref="E28:G28"/>
    <mergeCell ref="V45:X45"/>
    <mergeCell ref="A49:H49"/>
    <mergeCell ref="I49:K49"/>
    <mergeCell ref="A42:G42"/>
    <mergeCell ref="I42:K42"/>
    <mergeCell ref="A43:G43"/>
    <mergeCell ref="I43:K43"/>
    <mergeCell ref="M42:X42"/>
    <mergeCell ref="M43:U43"/>
    <mergeCell ref="V43:X43"/>
    <mergeCell ref="M44:U44"/>
    <mergeCell ref="V44:X44"/>
    <mergeCell ref="E38:G38"/>
    <mergeCell ref="M50:U50"/>
    <mergeCell ref="V50:X50"/>
    <mergeCell ref="M51:U51"/>
    <mergeCell ref="V51:X51"/>
    <mergeCell ref="A50:H50"/>
    <mergeCell ref="I50:K50"/>
    <mergeCell ref="A46:G46"/>
    <mergeCell ref="I46:K46"/>
    <mergeCell ref="A47:G47"/>
    <mergeCell ref="I47:K47"/>
    <mergeCell ref="M46:U46"/>
    <mergeCell ref="A48:H48"/>
    <mergeCell ref="I48:K48"/>
    <mergeCell ref="V46:X46"/>
    <mergeCell ref="M47:X47"/>
    <mergeCell ref="M48:U48"/>
    <mergeCell ref="V48:X48"/>
    <mergeCell ref="M49:U49"/>
    <mergeCell ref="V49:X49"/>
    <mergeCell ref="A62:G62"/>
    <mergeCell ref="I62:K62"/>
    <mergeCell ref="A67:C67"/>
    <mergeCell ref="E32:G32"/>
    <mergeCell ref="A65:C65"/>
    <mergeCell ref="A66:C66"/>
    <mergeCell ref="I51:K51"/>
    <mergeCell ref="A56:K56"/>
    <mergeCell ref="A57:B57"/>
    <mergeCell ref="C57:D57"/>
    <mergeCell ref="E57:G57"/>
    <mergeCell ref="H57:K57"/>
    <mergeCell ref="A58:B58"/>
    <mergeCell ref="C58:D58"/>
    <mergeCell ref="E58:G58"/>
    <mergeCell ref="A44:G44"/>
    <mergeCell ref="I44:K44"/>
    <mergeCell ref="A45:G45"/>
    <mergeCell ref="I45:K45"/>
    <mergeCell ref="E36:G36"/>
    <mergeCell ref="E37:G37"/>
    <mergeCell ref="E39:G39"/>
    <mergeCell ref="A40:I40"/>
    <mergeCell ref="A53:G54"/>
  </mergeCells>
  <conditionalFormatting sqref="A9:H31 A32:E32 H32 A33:H39">
    <cfRule type="expression" dxfId="707" priority="56">
      <formula>OR($C9="ekskursion")</formula>
    </cfRule>
    <cfRule type="expression" dxfId="706" priority="62" stopIfTrue="1">
      <formula>OR($C9="Orlov")</formula>
    </cfRule>
    <cfRule type="expression" dxfId="705" priority="61">
      <formula>OR($C9="weekend")</formula>
    </cfRule>
    <cfRule type="expression" dxfId="704" priority="60">
      <formula>OR($C9="feriedag")</formula>
    </cfRule>
    <cfRule type="expression" dxfId="703" priority="59">
      <formula>OR($C9="fagdag")</formula>
    </cfRule>
    <cfRule type="expression" dxfId="702" priority="58">
      <formula>OR($C9="emnedag")</formula>
    </cfRule>
    <cfRule type="expression" dxfId="701" priority="57">
      <formula>OR($C9="lejrskole")</formula>
    </cfRule>
    <cfRule type="expression" dxfId="700" priority="55">
      <formula>OR($C9="SH-dag")</formula>
    </cfRule>
    <cfRule type="expression" dxfId="699" priority="54">
      <formula>OR($C9="nul-dag")</formula>
    </cfRule>
    <cfRule type="expression" dxfId="698" priority="53">
      <formula>OR($C9="pæd.dag")</formula>
    </cfRule>
    <cfRule type="expression" dxfId="697" priority="52">
      <formula>OR($C9="Ikke relevant")</formula>
    </cfRule>
    <cfRule type="expression" dxfId="696" priority="48">
      <formula>OR($C9="Skema 1")</formula>
    </cfRule>
    <cfRule type="expression" dxfId="695" priority="49">
      <formula>OR($C9="skema 2")</formula>
    </cfRule>
    <cfRule type="expression" dxfId="694" priority="50">
      <formula>OR($C9="Skema 3")</formula>
    </cfRule>
    <cfRule type="expression" dxfId="693" priority="51">
      <formula>OR($C9="Skema 4")</formula>
    </cfRule>
  </conditionalFormatting>
  <conditionalFormatting sqref="E20">
    <cfRule type="expression" dxfId="692" priority="64">
      <formula>OR($D19="nul-dag")</formula>
    </cfRule>
    <cfRule type="expression" dxfId="691" priority="65">
      <formula>OR($D19="SH-dag")</formula>
    </cfRule>
    <cfRule type="expression" dxfId="690" priority="66">
      <formula>OR($D19="ekskursion")</formula>
    </cfRule>
    <cfRule type="expression" dxfId="689" priority="67">
      <formula>OR($D19="lejrskole")</formula>
    </cfRule>
    <cfRule type="expression" dxfId="688" priority="63">
      <formula>OR($D19="pæd.dag")</formula>
    </cfRule>
    <cfRule type="expression" dxfId="687" priority="68">
      <formula>OR($D19="emnedag")</formula>
    </cfRule>
    <cfRule type="expression" dxfId="686" priority="69">
      <formula>OR($D19="fagdag")</formula>
    </cfRule>
    <cfRule type="expression" dxfId="685" priority="70">
      <formula>OR($D19="feriedag")</formula>
    </cfRule>
    <cfRule type="expression" dxfId="684" priority="71">
      <formula>OR($D19="weekend")</formula>
    </cfRule>
    <cfRule type="expression" dxfId="683" priority="72" stopIfTrue="1">
      <formula>OR($D19="skoledag")</formula>
    </cfRule>
    <cfRule type="expression" dxfId="682" priority="73">
      <formula>OR($D19="Ikke relevant")</formula>
    </cfRule>
  </conditionalFormatting>
  <conditionalFormatting sqref="H58:H61">
    <cfRule type="expression" dxfId="681" priority="1">
      <formula>OR($A58&gt;0,)</formula>
    </cfRule>
  </conditionalFormatting>
  <conditionalFormatting sqref="I58:I61">
    <cfRule type="expression" dxfId="680" priority="2">
      <formula>OR($C58&gt;0,)</formula>
    </cfRule>
  </conditionalFormatting>
  <conditionalFormatting sqref="K9:K39">
    <cfRule type="expression" dxfId="679" priority="45">
      <formula>OR($C9="Pæd.dag",)</formula>
    </cfRule>
  </conditionalFormatting>
  <conditionalFormatting sqref="K9:L39">
    <cfRule type="expression" dxfId="678" priority="47">
      <formula>OR($C9="Ekskursion",)</formula>
    </cfRule>
    <cfRule type="expression" dxfId="677" priority="46">
      <formula>OR($C9="Lejrskole",)</formula>
    </cfRule>
  </conditionalFormatting>
  <conditionalFormatting sqref="K9:M39">
    <cfRule type="expression" dxfId="676" priority="44">
      <formula>OR($C9="emnedag",)</formula>
    </cfRule>
    <cfRule type="expression" dxfId="675" priority="43">
      <formula>OR($C9="fagdag",)</formula>
    </cfRule>
  </conditionalFormatting>
  <conditionalFormatting sqref="R9:R39">
    <cfRule type="expression" dxfId="674" priority="74">
      <formula>OR($H9&gt;"0",)</formula>
    </cfRule>
  </conditionalFormatting>
  <conditionalFormatting sqref="V9:V39">
    <cfRule type="expression" dxfId="673" priority="10">
      <formula>OR($S9="X",)</formula>
    </cfRule>
  </conditionalFormatting>
  <conditionalFormatting sqref="V49:X52">
    <cfRule type="expression" dxfId="672" priority="3">
      <formula>OR($M49&gt;0,)</formula>
    </cfRule>
  </conditionalFormatting>
  <conditionalFormatting sqref="W9:W39">
    <cfRule type="expression" dxfId="671" priority="9">
      <formula>OR($T9="X",)</formula>
    </cfRule>
  </conditionalFormatting>
  <conditionalFormatting sqref="X9:X39">
    <cfRule type="expression" dxfId="670" priority="8">
      <formula>OR($U9="X",)</formula>
    </cfRule>
  </conditionalFormatting>
  <dataValidations count="3">
    <dataValidation type="list" allowBlank="1" showInputMessage="1" showErrorMessage="1" sqref="S9:T39 U9:U37 A58:D61" xr:uid="{097CEB81-1AE9-CD48-96FF-F462A837FEDB}">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31:I34 I10:I11 I17:I18 I24:I25 I38:I39" xr:uid="{61DC2805-BC0E-524D-BCC0-28561AD184E9}">
      <formula1>$W$1:$W$2</formula1>
    </dataValidation>
    <dataValidation type="list" allowBlank="1" showInputMessage="1" showErrorMessage="1" promptTitle="OBS:" prompt="Ved arrangementer med overnatning ydes istedet for ulempe- og weekendgodtgørelse på hhv. 25% og 50% faste tillæg pr. påbegyndt dag. " sqref="J9:J39" xr:uid="{4491093C-506D-164F-BA01-CBBB80A6F81D}">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37EFE759-2E14-BE47-BE74-01C1CC11467F}">
          <x14:formula1>
            <xm:f>August!$A$89:$A$103</xm:f>
          </x14:formula1>
          <xm:sqref>C9:C39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0D0C7-7579-5A40-B201-89777DB2E7FA}">
  <sheetPr>
    <tabColor theme="4" tint="-0.249977111117893"/>
    <pageSetUpPr fitToPage="1"/>
  </sheetPr>
  <dimension ref="A1:DN97"/>
  <sheetViews>
    <sheetView zoomScale="90" workbookViewId="0">
      <selection activeCell="E108" sqref="E10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8"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44"/>
      <c r="Y1" s="251"/>
      <c r="Z1" s="94"/>
      <c r="AB1" s="94"/>
      <c r="AC1" s="94"/>
      <c r="AH1" s="94"/>
      <c r="AI1" s="94"/>
      <c r="CX1" s="253"/>
      <c r="CZ1"/>
    </row>
    <row r="2" spans="1:118" ht="20">
      <c r="A2" s="96">
        <v>1</v>
      </c>
      <c r="B2" s="1009"/>
      <c r="C2" s="1009"/>
      <c r="D2" s="1009"/>
      <c r="E2" s="1009"/>
      <c r="F2" s="94"/>
      <c r="G2" s="94"/>
      <c r="H2" s="292"/>
      <c r="I2" s="291"/>
      <c r="J2" s="234"/>
      <c r="K2" s="234"/>
      <c r="L2" s="234"/>
      <c r="M2" s="234"/>
      <c r="N2" s="234"/>
      <c r="O2" s="234"/>
      <c r="P2" s="94"/>
      <c r="Q2" s="94"/>
      <c r="R2" s="94"/>
      <c r="S2" s="94"/>
      <c r="T2" s="94"/>
      <c r="U2" s="94"/>
      <c r="V2" s="94"/>
      <c r="W2" s="127" t="s">
        <v>31</v>
      </c>
      <c r="X2" s="127" t="s">
        <v>31</v>
      </c>
      <c r="Y2"/>
      <c r="Z2" s="94"/>
      <c r="AB2" s="94"/>
      <c r="AC2" s="94"/>
      <c r="AH2" s="94"/>
      <c r="AI2" s="94"/>
      <c r="CX2" s="253"/>
      <c r="CZ2"/>
    </row>
    <row r="3" spans="1:118">
      <c r="A3" s="1022" t="s">
        <v>316</v>
      </c>
      <c r="B3" s="1023"/>
      <c r="C3" s="1023"/>
      <c r="D3" s="1023"/>
      <c r="E3" s="1023"/>
      <c r="F3" s="1023"/>
      <c r="G3" s="1023"/>
      <c r="H3" s="1023"/>
      <c r="I3" s="1023"/>
      <c r="J3" s="1023"/>
      <c r="K3" s="1023"/>
      <c r="L3" s="1023"/>
      <c r="M3" s="1023"/>
      <c r="N3" s="1023"/>
      <c r="O3" s="1023"/>
      <c r="P3" s="1023"/>
      <c r="Q3" s="1023"/>
      <c r="R3" s="1023"/>
      <c r="S3" s="1023"/>
      <c r="T3" s="1023"/>
      <c r="U3" s="1023"/>
      <c r="V3" s="1023"/>
      <c r="W3" s="1023"/>
      <c r="X3" s="1024"/>
      <c r="Y3" s="94"/>
      <c r="Z3"/>
      <c r="AC3" s="94"/>
      <c r="AD3" s="94"/>
      <c r="AF3" s="94"/>
      <c r="CT3" s="253"/>
      <c r="CU3" s="253"/>
      <c r="CY3"/>
      <c r="CZ3"/>
    </row>
    <row r="4" spans="1:118" ht="254" customHeight="1" thickBot="1">
      <c r="A4" s="921" t="s">
        <v>463</v>
      </c>
      <c r="B4" s="922"/>
      <c r="C4" s="922"/>
      <c r="D4" s="922"/>
      <c r="E4" s="923" t="s">
        <v>317</v>
      </c>
      <c r="F4" s="923"/>
      <c r="G4" s="923"/>
      <c r="H4" s="293" t="s">
        <v>442</v>
      </c>
      <c r="I4" s="468" t="s">
        <v>511</v>
      </c>
      <c r="J4" s="468" t="s">
        <v>512</v>
      </c>
      <c r="K4" s="933" t="s">
        <v>579</v>
      </c>
      <c r="L4" s="933"/>
      <c r="M4" s="533" t="s">
        <v>499</v>
      </c>
      <c r="N4" s="533" t="s">
        <v>464</v>
      </c>
      <c r="O4" s="533" t="s">
        <v>465</v>
      </c>
      <c r="P4" s="534" t="s">
        <v>500</v>
      </c>
      <c r="Q4" s="534" t="s">
        <v>315</v>
      </c>
      <c r="R4" s="534" t="s">
        <v>466</v>
      </c>
      <c r="S4" s="535" t="s">
        <v>509</v>
      </c>
      <c r="T4" s="535" t="s">
        <v>467</v>
      </c>
      <c r="U4" s="535" t="s">
        <v>468</v>
      </c>
      <c r="V4" s="536" t="s">
        <v>501</v>
      </c>
      <c r="W4" s="536" t="s">
        <v>427</v>
      </c>
      <c r="X4" s="537" t="s">
        <v>426</v>
      </c>
      <c r="Y4" s="251"/>
      <c r="Z4" s="94"/>
      <c r="AB4" s="94"/>
      <c r="AC4" s="94"/>
      <c r="AH4" s="94"/>
      <c r="AI4" s="94"/>
      <c r="CX4" s="253"/>
      <c r="CZ4"/>
    </row>
    <row r="5" spans="1:118" ht="26" thickBot="1">
      <c r="A5" s="934" t="str">
        <f>""&amp;A7&amp;" måneds kalender for: "&amp;Stamoplysninger!E8&amp;". Måneden vedr. normperioden: "&amp;Stamoplysninger!E11&amp;" - "&amp;Stamoplysninger!G11&amp;"."</f>
        <v>Januar måneds kalender for: . Måneden vedr. normperioden:  - .</v>
      </c>
      <c r="B5" s="935"/>
      <c r="C5" s="935"/>
      <c r="D5" s="935"/>
      <c r="E5" s="935"/>
      <c r="F5" s="935"/>
      <c r="G5" s="935"/>
      <c r="H5" s="935"/>
      <c r="I5" s="935"/>
      <c r="J5" s="935"/>
      <c r="K5" s="935"/>
      <c r="L5" s="935"/>
      <c r="M5" s="935"/>
      <c r="N5" s="935"/>
      <c r="O5" s="935"/>
      <c r="P5" s="935"/>
      <c r="Q5" s="935"/>
      <c r="R5" s="935"/>
      <c r="S5" s="928" t="s">
        <v>312</v>
      </c>
      <c r="T5" s="929"/>
      <c r="U5" s="929"/>
      <c r="V5" s="929"/>
      <c r="W5" s="929"/>
      <c r="X5" s="930"/>
      <c r="Y5" s="251"/>
      <c r="Z5" s="94"/>
      <c r="AB5" s="94"/>
      <c r="AC5" s="94"/>
      <c r="AH5" s="94"/>
      <c r="AI5" s="94"/>
      <c r="CX5" s="253"/>
      <c r="CZ5"/>
    </row>
    <row r="6" spans="1:118" ht="47" customHeight="1">
      <c r="A6" s="346">
        <v>2024</v>
      </c>
      <c r="B6" s="246"/>
      <c r="C6" s="247"/>
      <c r="D6" s="248"/>
      <c r="E6" s="941" t="s">
        <v>516</v>
      </c>
      <c r="F6" s="942"/>
      <c r="G6" s="943"/>
      <c r="H6" s="343" t="s">
        <v>344</v>
      </c>
      <c r="I6" s="912" t="s">
        <v>510</v>
      </c>
      <c r="J6" s="939" t="s">
        <v>535</v>
      </c>
      <c r="K6" s="936" t="s">
        <v>309</v>
      </c>
      <c r="L6" s="937"/>
      <c r="M6" s="344" t="s">
        <v>310</v>
      </c>
      <c r="N6" s="912" t="s">
        <v>478</v>
      </c>
      <c r="O6" s="912" t="s">
        <v>314</v>
      </c>
      <c r="P6" s="912" t="s">
        <v>498</v>
      </c>
      <c r="Q6" s="912" t="s">
        <v>413</v>
      </c>
      <c r="R6" s="919" t="s">
        <v>580</v>
      </c>
      <c r="S6" s="913" t="s">
        <v>311</v>
      </c>
      <c r="T6" s="914"/>
      <c r="U6" s="914"/>
      <c r="V6" s="914"/>
      <c r="W6" s="914"/>
      <c r="X6" s="915"/>
      <c r="Y6" s="216"/>
      <c r="Z6" s="216"/>
      <c r="AA6" s="909" t="s">
        <v>264</v>
      </c>
      <c r="AB6" s="909"/>
      <c r="AC6" s="909"/>
      <c r="AD6" s="909"/>
      <c r="AE6" s="909"/>
      <c r="AF6" s="213"/>
      <c r="AG6" s="909" t="s">
        <v>225</v>
      </c>
      <c r="AH6" s="909"/>
      <c r="AI6" s="909"/>
      <c r="AJ6" s="909"/>
      <c r="AK6" s="909"/>
      <c r="AL6" s="909" t="s">
        <v>226</v>
      </c>
      <c r="AM6" s="909"/>
      <c r="AN6" s="909"/>
      <c r="AO6" s="909"/>
      <c r="AP6" s="909"/>
      <c r="AQ6" s="909" t="s">
        <v>227</v>
      </c>
      <c r="AR6" s="909"/>
      <c r="AS6" s="909"/>
      <c r="AT6" s="909"/>
      <c r="AU6" s="909"/>
      <c r="AV6" s="909" t="s">
        <v>228</v>
      </c>
      <c r="AW6" s="909"/>
      <c r="AX6" s="909"/>
      <c r="AY6" s="909"/>
      <c r="AZ6" s="909"/>
      <c r="BA6" s="314"/>
      <c r="BB6" s="213"/>
      <c r="BC6" s="909" t="s">
        <v>267</v>
      </c>
      <c r="BD6" s="909"/>
      <c r="BE6" s="909"/>
      <c r="BF6" s="909"/>
      <c r="BG6" s="909" t="s">
        <v>230</v>
      </c>
      <c r="BH6" s="909"/>
      <c r="BI6" s="909"/>
      <c r="BJ6" s="909"/>
      <c r="BK6" s="909"/>
      <c r="BL6" s="909" t="s">
        <v>231</v>
      </c>
      <c r="BM6" s="909"/>
      <c r="BN6" s="909"/>
      <c r="BO6" s="909"/>
      <c r="BP6" s="909"/>
      <c r="BQ6" s="909" t="s">
        <v>232</v>
      </c>
      <c r="BR6" s="909"/>
      <c r="BS6" s="909"/>
      <c r="BT6" s="909"/>
      <c r="BU6" s="909"/>
      <c r="BV6" s="909" t="s">
        <v>233</v>
      </c>
      <c r="BW6" s="909"/>
      <c r="BX6" s="909"/>
      <c r="BY6" s="909"/>
      <c r="BZ6" s="909"/>
      <c r="CD6" s="909" t="s">
        <v>268</v>
      </c>
      <c r="CE6" s="909"/>
      <c r="CF6" s="909"/>
      <c r="CG6" s="909"/>
      <c r="CH6" s="909"/>
      <c r="CI6" s="909" t="s">
        <v>270</v>
      </c>
      <c r="CJ6" s="909"/>
      <c r="CK6" s="909"/>
      <c r="CL6" s="909"/>
      <c r="CM6" s="909"/>
      <c r="CN6" s="909" t="s">
        <v>269</v>
      </c>
      <c r="CO6" s="909"/>
      <c r="CP6" s="909"/>
      <c r="CQ6" s="909"/>
      <c r="CR6" s="909"/>
      <c r="CS6" s="909" t="s">
        <v>271</v>
      </c>
      <c r="CT6" s="909"/>
      <c r="CU6" s="909"/>
      <c r="CV6" s="909"/>
      <c r="CW6" s="909"/>
      <c r="CX6" s="253"/>
      <c r="CZ6"/>
      <c r="DA6" s="682" t="s">
        <v>215</v>
      </c>
      <c r="DB6" s="682"/>
      <c r="DC6" s="682"/>
      <c r="DD6" s="682"/>
      <c r="DE6" s="682"/>
    </row>
    <row r="7" spans="1:118" ht="144" customHeight="1">
      <c r="A7" s="828" t="s">
        <v>286</v>
      </c>
      <c r="B7" s="829"/>
      <c r="C7" s="829"/>
      <c r="D7" s="830"/>
      <c r="E7" s="944"/>
      <c r="F7" s="945"/>
      <c r="G7" s="946"/>
      <c r="H7" s="910" t="s">
        <v>534</v>
      </c>
      <c r="I7" s="938"/>
      <c r="J7" s="940"/>
      <c r="K7" s="345" t="s">
        <v>581</v>
      </c>
      <c r="L7" s="345" t="s">
        <v>582</v>
      </c>
      <c r="M7" s="345" t="s">
        <v>583</v>
      </c>
      <c r="N7" s="911"/>
      <c r="O7" s="911"/>
      <c r="P7" s="911"/>
      <c r="Q7" s="911"/>
      <c r="R7" s="920"/>
      <c r="S7" s="539" t="s">
        <v>508</v>
      </c>
      <c r="T7" s="344" t="s">
        <v>313</v>
      </c>
      <c r="U7" s="344" t="s">
        <v>428</v>
      </c>
      <c r="V7" s="475" t="s">
        <v>470</v>
      </c>
      <c r="W7" s="475" t="s">
        <v>469</v>
      </c>
      <c r="X7" s="476" t="s">
        <v>425</v>
      </c>
      <c r="Y7" s="216" t="s">
        <v>282</v>
      </c>
      <c r="Z7" s="216" t="s">
        <v>283</v>
      </c>
      <c r="AA7" s="316" t="s">
        <v>214</v>
      </c>
      <c r="AB7" t="s">
        <v>137</v>
      </c>
      <c r="AC7" t="s">
        <v>140</v>
      </c>
      <c r="AD7" t="s">
        <v>139</v>
      </c>
      <c r="AE7" t="s">
        <v>138</v>
      </c>
      <c r="AF7" t="s">
        <v>444</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266</v>
      </c>
      <c r="BD7" t="s">
        <v>265</v>
      </c>
      <c r="BE7" t="s">
        <v>251</v>
      </c>
      <c r="BF7" t="s">
        <v>252</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254</v>
      </c>
      <c r="CC7" s="316" t="s">
        <v>255</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280</v>
      </c>
      <c r="CY7" s="253" t="s">
        <v>272</v>
      </c>
      <c r="CZ7" s="253" t="s">
        <v>273</v>
      </c>
      <c r="DA7" s="253" t="s">
        <v>274</v>
      </c>
      <c r="DB7" s="253" t="s">
        <v>275</v>
      </c>
      <c r="DC7" s="253" t="s">
        <v>276</v>
      </c>
      <c r="DD7" s="253" t="s">
        <v>277</v>
      </c>
      <c r="DE7" s="253" t="s">
        <v>278</v>
      </c>
      <c r="DF7" s="253" t="s">
        <v>279</v>
      </c>
      <c r="DG7" s="253"/>
    </row>
    <row r="8" spans="1:118" ht="20" customHeight="1">
      <c r="A8" s="831"/>
      <c r="B8" s="832"/>
      <c r="C8" s="832"/>
      <c r="D8" s="833"/>
      <c r="E8" s="947"/>
      <c r="F8" s="948"/>
      <c r="G8" s="949"/>
      <c r="H8" s="911"/>
      <c r="I8" s="931" t="s">
        <v>409</v>
      </c>
      <c r="J8" s="918"/>
      <c r="K8" s="931" t="s">
        <v>346</v>
      </c>
      <c r="L8" s="917"/>
      <c r="M8" s="917"/>
      <c r="N8" s="917"/>
      <c r="O8" s="917"/>
      <c r="P8" s="917"/>
      <c r="Q8" s="917"/>
      <c r="R8" s="917"/>
      <c r="S8" s="916" t="s">
        <v>409</v>
      </c>
      <c r="T8" s="917"/>
      <c r="U8" s="918"/>
      <c r="V8" s="931" t="s">
        <v>410</v>
      </c>
      <c r="W8" s="917"/>
      <c r="X8" s="932"/>
      <c r="Y8" s="216"/>
      <c r="Z8" s="216"/>
      <c r="AA8" s="316"/>
      <c r="BB8" s="232"/>
      <c r="CA8" s="116"/>
      <c r="CB8" s="238"/>
      <c r="CC8" s="316"/>
      <c r="CX8" s="253"/>
      <c r="DA8" s="253"/>
      <c r="DB8" s="253"/>
      <c r="DC8" s="253"/>
      <c r="DD8" s="253"/>
      <c r="DE8" s="253"/>
      <c r="DF8" s="253"/>
      <c r="DG8" s="253"/>
      <c r="DH8" t="s">
        <v>543</v>
      </c>
      <c r="DI8" t="s">
        <v>544</v>
      </c>
      <c r="DJ8" t="s">
        <v>545</v>
      </c>
    </row>
    <row r="9" spans="1:118">
      <c r="A9" s="249">
        <f>IF(ISNUMBER(A7),A7+1,1)</f>
        <v>1</v>
      </c>
      <c r="B9" s="132" t="str">
        <f t="shared" ref="B9:B39" si="0">CHOOSE(MOD(WEEKDAY(DATE(A$6,A$2,A9)),7)+1,"lø","sø","ma","ti","on","to","fr",)</f>
        <v>ma</v>
      </c>
      <c r="C9" s="133" t="s">
        <v>120</v>
      </c>
      <c r="D9" s="134">
        <f t="shared" ref="D9:D39" si="1">IF(B9="ma",(DATE(A$6,A$2,A9)-DATE(A$6,1,1)+7)/7,"")</f>
        <v>1</v>
      </c>
      <c r="E9" s="871" t="s">
        <v>142</v>
      </c>
      <c r="F9" s="872"/>
      <c r="G9" s="873"/>
      <c r="H9" s="313"/>
      <c r="I9" s="440"/>
      <c r="J9" s="440"/>
      <c r="K9" s="405"/>
      <c r="L9" s="405"/>
      <c r="M9" s="405"/>
      <c r="N9" s="334">
        <f>BA9</f>
        <v>0</v>
      </c>
      <c r="O9" s="334">
        <f>CA9</f>
        <v>0</v>
      </c>
      <c r="P9" s="334">
        <f>IF(Stamoplysninger!$H$29="JA",Januar!DG9,CX9)</f>
        <v>0</v>
      </c>
      <c r="Q9" s="334">
        <f>IF(OR(C9="Lejrskole",C9="Ekskursion"),0,N9-O9-P9)</f>
        <v>0</v>
      </c>
      <c r="R9" s="335"/>
      <c r="S9" s="341"/>
      <c r="T9" s="342"/>
      <c r="U9" s="342"/>
      <c r="V9" s="336"/>
      <c r="W9" s="472"/>
      <c r="X9" s="337"/>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9" si="8">SUM(AG9:AK9)*24</f>
        <v>0</v>
      </c>
      <c r="BC9" s="1">
        <f>IF($C$9="Lejrskole",$L$9,0)</f>
        <v>0</v>
      </c>
      <c r="BD9" s="1">
        <f t="shared" ref="BD9:BD39" si="9">IF(C9="Ekskursion",L9,0)</f>
        <v>0</v>
      </c>
      <c r="BE9" s="1">
        <f t="shared" ref="BE9:BE39" si="10">IF(C9="fagdag",L9,0)</f>
        <v>0</v>
      </c>
      <c r="BF9" s="1">
        <f t="shared" ref="BF9:BF39" si="11">IF(C9="emnedag",L9,0)</f>
        <v>0</v>
      </c>
      <c r="BG9" s="214" t="str">
        <f>IF(AND($C$9="Skema 1",$B$9="ma"),Skemaoplysninger!E30,"")</f>
        <v/>
      </c>
      <c r="BH9" s="214" t="str">
        <f>IF(AND(C9="Skema 1",B9="ti"),Skemaoplysninger!$F$30,"")</f>
        <v/>
      </c>
      <c r="BI9" s="214" t="str">
        <f>IF(AND(C9="Skema 1",B9="on"),Skemaoplysninger!$G$30,"")</f>
        <v/>
      </c>
      <c r="BJ9" s="214" t="str">
        <f>IF(AND(C9="Skema 1",B9="to"),Skemaoplysninger!$H$30,"")</f>
        <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9" si="12">IF(C9="fagdag",M9,0)</f>
        <v>0</v>
      </c>
      <c r="CC9" s="1">
        <f t="shared" ref="CC9:CC39" si="13">IF(C9="emnedag",M9,0)</f>
        <v>0</v>
      </c>
      <c r="CD9" s="214" t="str">
        <f>IF(AND(C9="Skema 1",B9="ma"),Skemaoplysninger!$E$39,"")</f>
        <v/>
      </c>
      <c r="CE9" s="214" t="str">
        <f>IF(AND(C9="Skema 1",B9="ti"),Skemaoplysninger!$F$39,"")</f>
        <v/>
      </c>
      <c r="CF9" s="214" t="str">
        <f>IF(AND(C9="Skema 1",B9="on"),Skemaoplysninger!$G$39,"")</f>
        <v/>
      </c>
      <c r="CG9" s="214" t="str">
        <f>IF(AND(C9="Skema 1",B9="to"),Skemaoplysninger!$H$39,"")</f>
        <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t="str">
        <f>IF(H9="",E9,"")</f>
        <v>Nytårsdag</v>
      </c>
      <c r="DJ9" t="str">
        <f>IF(E9="",H9,"")</f>
        <v/>
      </c>
      <c r="DK9" t="str">
        <f t="shared" ref="DK9:DM38" si="14">IF(DH9=0,"",DH9)</f>
        <v/>
      </c>
      <c r="DL9" t="str">
        <f>IF(DI9=0,"",DI9)</f>
        <v>Nytårsdag</v>
      </c>
      <c r="DM9" t="str">
        <f>IF(DJ9=0,"",DJ9)</f>
        <v/>
      </c>
      <c r="DN9" t="str">
        <f>DK9&amp;""&amp;DL9&amp;""&amp;DM9</f>
        <v>Nytårsdag</v>
      </c>
    </row>
    <row r="10" spans="1:118">
      <c r="A10" s="249">
        <f t="shared" ref="A10:A38" si="15">IF(ISNUMBER(A9),A9+1,1)</f>
        <v>2</v>
      </c>
      <c r="B10" s="132" t="str">
        <f t="shared" si="0"/>
        <v>ti</v>
      </c>
      <c r="C10" s="133" t="s">
        <v>129</v>
      </c>
      <c r="D10" s="134" t="str">
        <f t="shared" si="1"/>
        <v/>
      </c>
      <c r="E10" s="871"/>
      <c r="F10" s="872"/>
      <c r="G10" s="873"/>
      <c r="H10" s="313"/>
      <c r="I10" s="582"/>
      <c r="J10" s="440"/>
      <c r="K10" s="405"/>
      <c r="L10" s="405"/>
      <c r="M10" s="405"/>
      <c r="N10" s="334">
        <f t="shared" ref="N10:N39" si="16">BA10</f>
        <v>0</v>
      </c>
      <c r="O10" s="334">
        <f t="shared" ref="O10:O39" si="17">CA10</f>
        <v>0</v>
      </c>
      <c r="P10" s="334">
        <f>IF(Stamoplysninger!$H$29="JA",Januar!DG10,CX10)</f>
        <v>0</v>
      </c>
      <c r="Q10" s="334">
        <f t="shared" ref="Q10:Q39" si="18">IF(OR(C10="Lejrskole",C10="Ekskursion"),0,N10-O10-P10)</f>
        <v>0</v>
      </c>
      <c r="R10" s="335"/>
      <c r="S10" s="341"/>
      <c r="T10" s="342"/>
      <c r="U10" s="342"/>
      <c r="V10" s="336"/>
      <c r="W10" s="472"/>
      <c r="X10" s="337"/>
      <c r="Y10">
        <f t="shared" ref="Y10:Y39" si="19">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1",B10="ma"),Arbejdstidsoversigt!$E$44,"")</f>
        <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9" si="20">SUM(AA10:AZ10)</f>
        <v>0</v>
      </c>
      <c r="BB10" s="233">
        <f t="shared" si="8"/>
        <v>0</v>
      </c>
      <c r="BC10" s="1">
        <f t="shared" ref="BC10:BC39" si="21">IF(C10="Lejrskole",L10,0)</f>
        <v>0</v>
      </c>
      <c r="BD10" s="1">
        <f t="shared" si="9"/>
        <v>0</v>
      </c>
      <c r="BE10" s="1">
        <f t="shared" si="10"/>
        <v>0</v>
      </c>
      <c r="BF10" s="1">
        <f t="shared" si="11"/>
        <v>0</v>
      </c>
      <c r="BG10" s="214" t="str">
        <f>IF(AND(C10="Skema 1",B10="ma"),Skemaoplysninger!$E$30,"")</f>
        <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9" si="22">SUM(BG10:BZ10)*24+SUM(BC10:BF10)</f>
        <v>0</v>
      </c>
      <c r="CB10" s="1">
        <f t="shared" si="12"/>
        <v>0</v>
      </c>
      <c r="CC10" s="1">
        <f t="shared" si="13"/>
        <v>0</v>
      </c>
      <c r="CD10" s="214" t="str">
        <f>IF(AND(C10="Skema 1",B10="ma"),Skemaoplysninger!$E$39,"")</f>
        <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9" si="23">SUM(CY10:DF10)</f>
        <v>0</v>
      </c>
      <c r="DH10" t="str">
        <f t="shared" ref="DH10:DH39" si="24">IF(AND(E10&gt;0,H10&gt;0),""&amp;E10&amp;" og "&amp;H10&amp;"","")</f>
        <v/>
      </c>
      <c r="DI10">
        <f t="shared" ref="DI10:DI39" si="25">IF(H10="",E10,"")</f>
        <v>0</v>
      </c>
      <c r="DJ10">
        <f t="shared" ref="DJ10:DJ39" si="26">IF(E10="",H10,"")</f>
        <v>0</v>
      </c>
      <c r="DK10" t="str">
        <f t="shared" si="14"/>
        <v/>
      </c>
      <c r="DL10" t="str">
        <f t="shared" si="14"/>
        <v/>
      </c>
      <c r="DM10" t="str">
        <f t="shared" si="14"/>
        <v/>
      </c>
      <c r="DN10" t="str">
        <f t="shared" ref="DN10:DN39" si="27">DK10&amp;""&amp;DL10&amp;""&amp;DM10</f>
        <v/>
      </c>
    </row>
    <row r="11" spans="1:118">
      <c r="A11" s="249">
        <f t="shared" si="15"/>
        <v>3</v>
      </c>
      <c r="B11" s="132" t="str">
        <f t="shared" si="0"/>
        <v>on</v>
      </c>
      <c r="C11" s="133" t="s">
        <v>129</v>
      </c>
      <c r="D11" s="134" t="str">
        <f t="shared" si="1"/>
        <v/>
      </c>
      <c r="E11" s="871"/>
      <c r="F11" s="872"/>
      <c r="G11" s="873"/>
      <c r="H11" s="313"/>
      <c r="I11" s="582"/>
      <c r="J11" s="440"/>
      <c r="K11" s="405"/>
      <c r="L11" s="405"/>
      <c r="M11" s="405"/>
      <c r="N11" s="334">
        <f t="shared" si="16"/>
        <v>0</v>
      </c>
      <c r="O11" s="334">
        <f t="shared" si="17"/>
        <v>0</v>
      </c>
      <c r="P11" s="334">
        <f>IF(Stamoplysninger!$H$29="JA",Januar!DG11,CX11)</f>
        <v>0</v>
      </c>
      <c r="Q11" s="334">
        <f t="shared" si="18"/>
        <v>0</v>
      </c>
      <c r="R11" s="335"/>
      <c r="S11" s="341"/>
      <c r="T11" s="342"/>
      <c r="U11" s="342"/>
      <c r="V11" s="336"/>
      <c r="W11" s="472"/>
      <c r="X11" s="337"/>
      <c r="Y11">
        <f t="shared" si="19"/>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8"/>
        <v>0</v>
      </c>
      <c r="BC11" s="1">
        <f t="shared" si="21"/>
        <v>0</v>
      </c>
      <c r="BD11" s="1">
        <f t="shared" si="9"/>
        <v>0</v>
      </c>
      <c r="BE11" s="1">
        <f t="shared" si="10"/>
        <v>0</v>
      </c>
      <c r="BF11" s="1">
        <f t="shared" si="11"/>
        <v>0</v>
      </c>
      <c r="BG11" s="214" t="str">
        <f>IF(AND(C11="Skema 1",B11="ma"),Skemaoplysninger!$E$30,"")</f>
        <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2"/>
        <v>0</v>
      </c>
      <c r="CC11" s="1">
        <f t="shared" si="13"/>
        <v>0</v>
      </c>
      <c r="CD11" s="214" t="str">
        <f>IF(AND(C11="Skema 1",B11="ma"),Skemaoplysninger!$E$39,"")</f>
        <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4"/>
        <v/>
      </c>
      <c r="DL11" t="str">
        <f t="shared" si="14"/>
        <v/>
      </c>
      <c r="DM11" t="str">
        <f t="shared" si="14"/>
        <v/>
      </c>
      <c r="DN11" t="str">
        <f t="shared" si="27"/>
        <v/>
      </c>
    </row>
    <row r="12" spans="1:118">
      <c r="A12" s="249">
        <f t="shared" si="15"/>
        <v>4</v>
      </c>
      <c r="B12" s="132" t="str">
        <f t="shared" si="0"/>
        <v>to</v>
      </c>
      <c r="C12" s="133" t="s">
        <v>209</v>
      </c>
      <c r="D12" s="134" t="str">
        <f t="shared" si="1"/>
        <v/>
      </c>
      <c r="E12" s="871"/>
      <c r="F12" s="872"/>
      <c r="G12" s="873"/>
      <c r="H12" s="313"/>
      <c r="I12" s="582"/>
      <c r="J12" s="440"/>
      <c r="K12" s="405"/>
      <c r="L12" s="405"/>
      <c r="M12" s="405"/>
      <c r="N12" s="334">
        <f t="shared" si="16"/>
        <v>0</v>
      </c>
      <c r="O12" s="334">
        <f t="shared" si="17"/>
        <v>0</v>
      </c>
      <c r="P12" s="334">
        <f>IF(Stamoplysninger!$H$29="JA",Januar!DG12,CX12)</f>
        <v>0</v>
      </c>
      <c r="Q12" s="334">
        <f t="shared" si="18"/>
        <v>0</v>
      </c>
      <c r="R12" s="335"/>
      <c r="S12" s="341"/>
      <c r="T12" s="342"/>
      <c r="U12" s="342"/>
      <c r="V12" s="336"/>
      <c r="W12" s="472"/>
      <c r="X12" s="337"/>
      <c r="Y12">
        <f t="shared" si="19"/>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1",B12="ma"),Arbejdstidsoversigt!$E$44,"")</f>
        <v/>
      </c>
      <c r="AH12" t="str">
        <f>IF(AND(C12="Skema 1",B12="ti"),Arbejdstidsoversigt!$E$45,"")</f>
        <v/>
      </c>
      <c r="AI12" t="str">
        <f>IF(AND(C12="Skema 1",B12="on"),Arbejdstidsoversigt!$E$46,"")</f>
        <v/>
      </c>
      <c r="AJ12">
        <f>IF(AND(C12="Skema 1",B12="to"),Arbejdstidsoversigt!$E$47,"")</f>
        <v>0</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8"/>
        <v>0</v>
      </c>
      <c r="BC12" s="1">
        <f t="shared" si="21"/>
        <v>0</v>
      </c>
      <c r="BD12" s="1">
        <f t="shared" si="9"/>
        <v>0</v>
      </c>
      <c r="BE12" s="1">
        <f t="shared" si="10"/>
        <v>0</v>
      </c>
      <c r="BF12" s="1">
        <f t="shared" si="11"/>
        <v>0</v>
      </c>
      <c r="BG12" s="214" t="str">
        <f>IF(AND(C12="Skema 1",B12="ma"),Skemaoplysninger!$E$30,"")</f>
        <v/>
      </c>
      <c r="BH12" s="214" t="str">
        <f>IF(AND(C12="Skema 1",B12="ti"),Skemaoplysninger!$F$30,"")</f>
        <v/>
      </c>
      <c r="BI12" s="214" t="str">
        <f>IF(AND(C12="Skema 1",B12="on"),Skemaoplysninger!$G$30,"")</f>
        <v/>
      </c>
      <c r="BJ12" s="214">
        <f>IF(AND(C12="Skema 1",B12="to"),Skemaoplysninger!$H$30,"")</f>
        <v>0</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2"/>
        <v>0</v>
      </c>
      <c r="CC12" s="1">
        <f t="shared" si="13"/>
        <v>0</v>
      </c>
      <c r="CD12" s="214" t="str">
        <f>IF(AND(C12="Skema 1",B12="ma"),Skemaoplysninger!$E$39,"")</f>
        <v/>
      </c>
      <c r="CE12" s="214" t="str">
        <f>IF(AND(C12="Skema 1",B12="ti"),Skemaoplysninger!$F$39,"")</f>
        <v/>
      </c>
      <c r="CF12" s="214" t="str">
        <f>IF(AND(C12="Skema 1",B12="on"),Skemaoplysninger!$G$39,"")</f>
        <v/>
      </c>
      <c r="CG12" s="214">
        <f>IF(AND(C12="Skema 1",B12="to"),Skemaoplysninger!$H$39,"")</f>
        <v>0</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4"/>
        <v/>
      </c>
      <c r="DL12" t="str">
        <f t="shared" si="14"/>
        <v/>
      </c>
      <c r="DM12" t="str">
        <f t="shared" si="14"/>
        <v/>
      </c>
      <c r="DN12" t="str">
        <f t="shared" si="27"/>
        <v/>
      </c>
    </row>
    <row r="13" spans="1:118">
      <c r="A13" s="249">
        <f t="shared" si="15"/>
        <v>5</v>
      </c>
      <c r="B13" s="132" t="str">
        <f t="shared" si="0"/>
        <v>fr</v>
      </c>
      <c r="C13" s="133" t="s">
        <v>209</v>
      </c>
      <c r="D13" s="134" t="str">
        <f t="shared" si="1"/>
        <v/>
      </c>
      <c r="E13" s="871"/>
      <c r="F13" s="872"/>
      <c r="G13" s="873"/>
      <c r="H13" s="313"/>
      <c r="I13" s="582"/>
      <c r="J13" s="440"/>
      <c r="K13" s="405"/>
      <c r="L13" s="405"/>
      <c r="M13" s="405"/>
      <c r="N13" s="334">
        <f t="shared" si="16"/>
        <v>0</v>
      </c>
      <c r="O13" s="334">
        <f t="shared" si="17"/>
        <v>0</v>
      </c>
      <c r="P13" s="334">
        <f>IF(Stamoplysninger!$H$29="JA",Januar!DG13,CX13)</f>
        <v>0</v>
      </c>
      <c r="Q13" s="334">
        <f t="shared" si="18"/>
        <v>0</v>
      </c>
      <c r="R13" s="335"/>
      <c r="S13" s="341"/>
      <c r="T13" s="342"/>
      <c r="U13" s="342"/>
      <c r="V13" s="336"/>
      <c r="W13" s="472"/>
      <c r="X13" s="337"/>
      <c r="Y13">
        <f t="shared" si="19"/>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1",B13="ma"),Arbejdstidsoversigt!$E$44,"")</f>
        <v/>
      </c>
      <c r="AH13" t="str">
        <f>IF(AND(C13="Skema 1",B13="ti"),Arbejdstidsoversigt!$E$45,"")</f>
        <v/>
      </c>
      <c r="AI13" t="str">
        <f>IF(AND(C13="Skema 1",B13="on"),Arbejdstidsoversigt!$E$46,"")</f>
        <v/>
      </c>
      <c r="AJ13" t="str">
        <f>IF(AND(C13="Skema 1",B13="to"),Arbejdstidsoversigt!$E$47,"")</f>
        <v/>
      </c>
      <c r="AK13">
        <f>IF(AND(C13="Skema 1",B13="fr"),Arbejdstidsoversigt!$E$48,"")</f>
        <v>0</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0</v>
      </c>
      <c r="BB13" s="233">
        <f t="shared" si="8"/>
        <v>0</v>
      </c>
      <c r="BC13" s="1">
        <f t="shared" si="21"/>
        <v>0</v>
      </c>
      <c r="BD13" s="1">
        <f t="shared" si="9"/>
        <v>0</v>
      </c>
      <c r="BE13" s="1">
        <f t="shared" si="10"/>
        <v>0</v>
      </c>
      <c r="BF13" s="1">
        <f t="shared" si="11"/>
        <v>0</v>
      </c>
      <c r="BG13" s="214" t="str">
        <f>IF(AND(C13="Skema 1",B13="ma"),Skemaoplysninger!$E$30,"")</f>
        <v/>
      </c>
      <c r="BH13" s="214" t="str">
        <f>IF(AND(C13="Skema 1",B13="ti"),Skemaoplysninger!$F$30,"")</f>
        <v/>
      </c>
      <c r="BI13" s="214" t="str">
        <f>IF(AND(C13="Skema 1",B13="on"),Skemaoplysninger!$G$30,"")</f>
        <v/>
      </c>
      <c r="BJ13" s="214" t="str">
        <f>IF(AND(C13="Skema 1",B13="to"),Skemaoplysninger!$H$30,"")</f>
        <v/>
      </c>
      <c r="BK13" s="214">
        <f>IF(AND(C13="Skema 1",B13="fr"),Skemaoplysninger!$I$30,"")</f>
        <v>0</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2"/>
        <v>0</v>
      </c>
      <c r="CC13" s="1">
        <f t="shared" si="13"/>
        <v>0</v>
      </c>
      <c r="CD13" s="214" t="str">
        <f>IF(AND(C13="Skema 1",B13="ma"),Skemaoplysninger!$E$39,"")</f>
        <v/>
      </c>
      <c r="CE13" s="214" t="str">
        <f>IF(AND(C13="Skema 1",B13="ti"),Skemaoplysninger!$F$39,"")</f>
        <v/>
      </c>
      <c r="CF13" s="214" t="str">
        <f>IF(AND(C13="Skema 1",B13="on"),Skemaoplysninger!$G$39,"")</f>
        <v/>
      </c>
      <c r="CG13" s="214" t="str">
        <f>IF(AND(C13="Skema 1",B13="to"),Skemaoplysninger!$H$39,"")</f>
        <v/>
      </c>
      <c r="CH13" s="214">
        <f>IF(AND(C13="Skema 1",B13="fr"),Skemaoplysninger!$I$39,"")</f>
        <v>0</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4"/>
        <v/>
      </c>
      <c r="DL13" t="str">
        <f t="shared" si="14"/>
        <v/>
      </c>
      <c r="DM13" t="str">
        <f t="shared" si="14"/>
        <v/>
      </c>
      <c r="DN13" t="str">
        <f t="shared" si="27"/>
        <v/>
      </c>
    </row>
    <row r="14" spans="1:118" ht="16" customHeight="1">
      <c r="A14" s="249">
        <f t="shared" si="15"/>
        <v>6</v>
      </c>
      <c r="B14" s="132" t="str">
        <f t="shared" si="0"/>
        <v>lø</v>
      </c>
      <c r="C14" s="133" t="s">
        <v>121</v>
      </c>
      <c r="D14" s="134" t="str">
        <f t="shared" si="1"/>
        <v/>
      </c>
      <c r="E14" s="871"/>
      <c r="F14" s="872"/>
      <c r="G14" s="873"/>
      <c r="H14" s="313"/>
      <c r="I14" s="440"/>
      <c r="J14" s="440"/>
      <c r="K14" s="405"/>
      <c r="L14" s="405"/>
      <c r="M14" s="405"/>
      <c r="N14" s="334">
        <f t="shared" si="16"/>
        <v>0</v>
      </c>
      <c r="O14" s="334">
        <f t="shared" si="17"/>
        <v>0</v>
      </c>
      <c r="P14" s="334">
        <f>IF(Stamoplysninger!$H$29="JA",Januar!DG14,CX14)</f>
        <v>0</v>
      </c>
      <c r="Q14" s="334">
        <f t="shared" si="18"/>
        <v>0</v>
      </c>
      <c r="R14" s="335"/>
      <c r="S14" s="341"/>
      <c r="T14" s="342"/>
      <c r="U14" s="342"/>
      <c r="V14" s="336"/>
      <c r="W14" s="472"/>
      <c r="X14" s="337"/>
      <c r="Y14">
        <f t="shared" si="19"/>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1",B14="ma"),Arbejdstidsoversigt!$E$44,"")</f>
        <v/>
      </c>
      <c r="AH14" t="str">
        <f>IF(AND(C14="Skema 1",B14="ti"),Arbejdstidsoversigt!$E$45,"")</f>
        <v/>
      </c>
      <c r="AI14" t="str">
        <f>IF(AND(C14="Skema 1",B14="on"),Arbejdstidsoversigt!$E$46,"")</f>
        <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0</v>
      </c>
      <c r="BB14" s="233">
        <f t="shared" si="8"/>
        <v>0</v>
      </c>
      <c r="BC14" s="1">
        <f t="shared" si="21"/>
        <v>0</v>
      </c>
      <c r="BD14" s="1">
        <f t="shared" si="9"/>
        <v>0</v>
      </c>
      <c r="BE14" s="1">
        <f t="shared" si="10"/>
        <v>0</v>
      </c>
      <c r="BF14" s="1">
        <f t="shared" si="11"/>
        <v>0</v>
      </c>
      <c r="BG14" s="214" t="str">
        <f>IF(AND(C14="Skema 1",B14="ma"),Skemaoplysninger!$E$30,"")</f>
        <v/>
      </c>
      <c r="BH14" s="214" t="str">
        <f>IF(AND(C14="Skema 1",B14="ti"),Skemaoplysninger!$F$30,"")</f>
        <v/>
      </c>
      <c r="BI14" s="214" t="str">
        <f>IF(AND(C14="Skema 1",B14="on"),Skemaoplysninger!$G$30,"")</f>
        <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2"/>
        <v>0</v>
      </c>
      <c r="CC14" s="1">
        <f t="shared" si="13"/>
        <v>0</v>
      </c>
      <c r="CD14" s="214" t="str">
        <f>IF(AND(C14="Skema 1",B14="ma"),Skemaoplysninger!$E$39,"")</f>
        <v/>
      </c>
      <c r="CE14" s="214" t="str">
        <f>IF(AND(C14="Skema 1",B14="ti"),Skemaoplysninger!$F$39,"")</f>
        <v/>
      </c>
      <c r="CF14" s="214" t="str">
        <f>IF(AND(C14="Skema 1",B14="on"),Skemaoplysninger!$G$39,"")</f>
        <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4"/>
        <v/>
      </c>
      <c r="DL14" t="str">
        <f t="shared" si="14"/>
        <v/>
      </c>
      <c r="DM14" t="str">
        <f t="shared" si="14"/>
        <v/>
      </c>
      <c r="DN14" t="str">
        <f t="shared" si="27"/>
        <v/>
      </c>
    </row>
    <row r="15" spans="1:118" ht="16" customHeight="1">
      <c r="A15" s="249">
        <f t="shared" si="15"/>
        <v>7</v>
      </c>
      <c r="B15" s="132" t="str">
        <f t="shared" si="0"/>
        <v>sø</v>
      </c>
      <c r="C15" s="133" t="s">
        <v>121</v>
      </c>
      <c r="D15" s="134" t="str">
        <f t="shared" si="1"/>
        <v/>
      </c>
      <c r="E15" s="871"/>
      <c r="F15" s="872"/>
      <c r="G15" s="873"/>
      <c r="H15" s="313"/>
      <c r="I15" s="440"/>
      <c r="J15" s="440"/>
      <c r="K15" s="405"/>
      <c r="L15" s="405"/>
      <c r="M15" s="405"/>
      <c r="N15" s="334">
        <f t="shared" si="16"/>
        <v>0</v>
      </c>
      <c r="O15" s="334">
        <f t="shared" si="17"/>
        <v>0</v>
      </c>
      <c r="P15" s="334">
        <f>IF(Stamoplysninger!$H$29="JA",Januar!DG15,CX15)</f>
        <v>0</v>
      </c>
      <c r="Q15" s="334">
        <f t="shared" si="18"/>
        <v>0</v>
      </c>
      <c r="R15" s="335"/>
      <c r="S15" s="341"/>
      <c r="T15" s="342"/>
      <c r="U15" s="342"/>
      <c r="V15" s="336"/>
      <c r="W15" s="472"/>
      <c r="X15" s="337"/>
      <c r="Y15">
        <f t="shared" si="19"/>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1",B15="ma"),Arbejdstidsoversigt!$E$44,"")</f>
        <v/>
      </c>
      <c r="AH15" t="str">
        <f>IF(AND(C15="Skema 1",B15="ti"),Arbejdstidsoversigt!$E$45,"")</f>
        <v/>
      </c>
      <c r="AI15" t="str">
        <f>IF(AND(C15="Skema 1",B15="on"),Arbejdstidsoversigt!$E$46,"")</f>
        <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8"/>
        <v>0</v>
      </c>
      <c r="BC15" s="1">
        <f t="shared" si="21"/>
        <v>0</v>
      </c>
      <c r="BD15" s="1">
        <f t="shared" si="9"/>
        <v>0</v>
      </c>
      <c r="BE15" s="1">
        <f t="shared" si="10"/>
        <v>0</v>
      </c>
      <c r="BF15" s="1">
        <f t="shared" si="11"/>
        <v>0</v>
      </c>
      <c r="BG15" s="214" t="str">
        <f>IF(AND(C15="Skema 1",B15="ma"),Skemaoplysninger!$E$30,"")</f>
        <v/>
      </c>
      <c r="BH15" s="214" t="str">
        <f>IF(AND(C15="Skema 1",B15="ti"),Skemaoplysninger!$F$30,"")</f>
        <v/>
      </c>
      <c r="BI15" s="214" t="str">
        <f>IF(AND(C15="Skema 1",B15="on"),Skemaoplysninger!$G$30,"")</f>
        <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2"/>
        <v>0</v>
      </c>
      <c r="CC15" s="1">
        <f t="shared" si="13"/>
        <v>0</v>
      </c>
      <c r="CD15" s="214" t="str">
        <f>IF(AND(C15="Skema 1",B15="ma"),Skemaoplysninger!$E$39,"")</f>
        <v/>
      </c>
      <c r="CE15" s="214" t="str">
        <f>IF(AND(C15="Skema 1",B15="ti"),Skemaoplysninger!$F$39,"")</f>
        <v/>
      </c>
      <c r="CF15" s="214" t="str">
        <f>IF(AND(C15="Skema 1",B15="on"),Skemaoplysninger!$G$39,"")</f>
        <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4"/>
        <v/>
      </c>
      <c r="DL15" t="str">
        <f t="shared" si="14"/>
        <v/>
      </c>
      <c r="DM15" t="str">
        <f t="shared" si="14"/>
        <v/>
      </c>
      <c r="DN15" t="str">
        <f t="shared" si="27"/>
        <v/>
      </c>
    </row>
    <row r="16" spans="1:118">
      <c r="A16" s="249">
        <f t="shared" si="15"/>
        <v>8</v>
      </c>
      <c r="B16" s="132" t="str">
        <f t="shared" si="0"/>
        <v>ma</v>
      </c>
      <c r="C16" s="133" t="s">
        <v>209</v>
      </c>
      <c r="D16" s="134">
        <f t="shared" si="1"/>
        <v>2</v>
      </c>
      <c r="E16" s="871"/>
      <c r="F16" s="872"/>
      <c r="G16" s="873"/>
      <c r="H16" s="313"/>
      <c r="I16" s="582"/>
      <c r="J16" s="440"/>
      <c r="K16" s="405"/>
      <c r="L16" s="405"/>
      <c r="M16" s="405"/>
      <c r="N16" s="334">
        <f t="shared" si="16"/>
        <v>0</v>
      </c>
      <c r="O16" s="334">
        <f t="shared" si="17"/>
        <v>0</v>
      </c>
      <c r="P16" s="334">
        <f>IF(Stamoplysninger!$H$29="JA",Januar!DG16,CX16)</f>
        <v>0</v>
      </c>
      <c r="Q16" s="334">
        <f t="shared" si="18"/>
        <v>0</v>
      </c>
      <c r="R16" s="335"/>
      <c r="S16" s="341"/>
      <c r="T16" s="342"/>
      <c r="U16" s="342"/>
      <c r="V16" s="336"/>
      <c r="W16" s="472"/>
      <c r="X16" s="337"/>
      <c r="Y16">
        <f t="shared" si="19"/>
        <v>0</v>
      </c>
      <c r="Z16">
        <f t="shared" si="2"/>
        <v>0</v>
      </c>
      <c r="AA16" s="1">
        <f t="shared" si="3"/>
        <v>0</v>
      </c>
      <c r="AB16" s="1">
        <f t="shared" si="4"/>
        <v>0</v>
      </c>
      <c r="AC16" s="1">
        <f t="shared" si="5"/>
        <v>0</v>
      </c>
      <c r="AD16" s="1">
        <f t="shared" si="6"/>
        <v>0</v>
      </c>
      <c r="AE16" s="1">
        <f t="shared" si="7"/>
        <v>0</v>
      </c>
      <c r="AF16" s="1">
        <f>IF(C16="Orlov",7.4*Stamoplysninger!$E$15,0)</f>
        <v>0</v>
      </c>
      <c r="AG16">
        <f>IF(AND(C16="Skema 1",B16="ma"),Arbejdstidsoversigt!$E$44,"")</f>
        <v>0</v>
      </c>
      <c r="AH16" t="str">
        <f>IF(AND(C16="Skema 1",B16="ti"),Arbejdstidsoversigt!$E$45,"")</f>
        <v/>
      </c>
      <c r="AI16" t="str">
        <f>IF(AND(C16="Skema 1",B16="on"),Arbejdstidsoversigt!$E$46,"")</f>
        <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0</v>
      </c>
      <c r="BB16" s="233">
        <f t="shared" si="8"/>
        <v>0</v>
      </c>
      <c r="BC16" s="1">
        <f t="shared" si="21"/>
        <v>0</v>
      </c>
      <c r="BD16" s="1">
        <f t="shared" si="9"/>
        <v>0</v>
      </c>
      <c r="BE16" s="1">
        <f t="shared" si="10"/>
        <v>0</v>
      </c>
      <c r="BF16" s="1">
        <f t="shared" si="11"/>
        <v>0</v>
      </c>
      <c r="BG16" s="214">
        <f>IF(AND(C16="Skema 1",B16="ma"),Skemaoplysninger!$E$30,"")</f>
        <v>0</v>
      </c>
      <c r="BH16" s="214" t="str">
        <f>IF(AND(C16="Skema 1",B16="ti"),Skemaoplysninger!$F$30,"")</f>
        <v/>
      </c>
      <c r="BI16" s="214" t="str">
        <f>IF(AND(C16="Skema 1",B16="on"),Skemaoplysninger!$G$30,"")</f>
        <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2"/>
        <v>0</v>
      </c>
      <c r="CC16" s="1">
        <f t="shared" si="13"/>
        <v>0</v>
      </c>
      <c r="CD16" s="214">
        <f>IF(AND(C16="Skema 1",B16="ma"),Skemaoplysninger!$E$39,"")</f>
        <v>0</v>
      </c>
      <c r="CE16" s="214" t="str">
        <f>IF(AND(C16="Skema 1",B16="ti"),Skemaoplysninger!$F$39,"")</f>
        <v/>
      </c>
      <c r="CF16" s="214" t="str">
        <f>IF(AND(C16="Skema 1",B16="on"),Skemaoplysninger!$G$39,"")</f>
        <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4"/>
        <v/>
      </c>
      <c r="DL16" t="str">
        <f t="shared" si="14"/>
        <v/>
      </c>
      <c r="DM16" t="str">
        <f t="shared" si="14"/>
        <v/>
      </c>
      <c r="DN16" t="str">
        <f t="shared" si="27"/>
        <v/>
      </c>
    </row>
    <row r="17" spans="1:118">
      <c r="A17" s="249">
        <f t="shared" si="15"/>
        <v>9</v>
      </c>
      <c r="B17" s="132" t="str">
        <f t="shared" si="0"/>
        <v>ti</v>
      </c>
      <c r="C17" s="133" t="s">
        <v>209</v>
      </c>
      <c r="D17" s="134" t="str">
        <f t="shared" si="1"/>
        <v/>
      </c>
      <c r="E17" s="871"/>
      <c r="F17" s="872"/>
      <c r="G17" s="873"/>
      <c r="H17" s="313"/>
      <c r="I17" s="582"/>
      <c r="J17" s="440"/>
      <c r="K17" s="405"/>
      <c r="L17" s="405"/>
      <c r="M17" s="405"/>
      <c r="N17" s="334">
        <f t="shared" si="16"/>
        <v>0</v>
      </c>
      <c r="O17" s="334">
        <f t="shared" si="17"/>
        <v>0</v>
      </c>
      <c r="P17" s="334">
        <f>IF(Stamoplysninger!$H$29="JA",Januar!DG17,CX17)</f>
        <v>0</v>
      </c>
      <c r="Q17" s="334">
        <f t="shared" si="18"/>
        <v>0</v>
      </c>
      <c r="R17" s="335"/>
      <c r="S17" s="341"/>
      <c r="T17" s="342"/>
      <c r="U17" s="342"/>
      <c r="V17" s="336"/>
      <c r="W17" s="472"/>
      <c r="X17" s="337"/>
      <c r="Y17">
        <f t="shared" si="19"/>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1",B17="ma"),Arbejdstidsoversigt!$E$44,"")</f>
        <v/>
      </c>
      <c r="AH17">
        <f>IF(AND(C17="Skema 1",B17="ti"),Arbejdstidsoversigt!$E$45,"")</f>
        <v>0</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8"/>
        <v>0</v>
      </c>
      <c r="BC17" s="1">
        <f t="shared" si="21"/>
        <v>0</v>
      </c>
      <c r="BD17" s="1">
        <f t="shared" si="9"/>
        <v>0</v>
      </c>
      <c r="BE17" s="1">
        <f t="shared" si="10"/>
        <v>0</v>
      </c>
      <c r="BF17" s="1">
        <f t="shared" si="11"/>
        <v>0</v>
      </c>
      <c r="BG17" s="214" t="str">
        <f>IF(AND(C17="Skema 1",B17="ma"),Skemaoplysninger!$E$30,"")</f>
        <v/>
      </c>
      <c r="BH17" s="214">
        <f>IF(AND(C17="Skema 1",B17="ti"),Skemaoplysninger!$F$30,"")</f>
        <v>0</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2"/>
        <v>0</v>
      </c>
      <c r="CC17" s="1">
        <f t="shared" si="13"/>
        <v>0</v>
      </c>
      <c r="CD17" s="214" t="str">
        <f>IF(AND(C17="Skema 1",B17="ma"),Skemaoplysninger!$E$39,"")</f>
        <v/>
      </c>
      <c r="CE17" s="214">
        <f>IF(AND(C17="Skema 1",B17="ti"),Skemaoplysninger!$F$39,"")</f>
        <v>0</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4"/>
        <v/>
      </c>
      <c r="DL17" t="str">
        <f t="shared" si="14"/>
        <v/>
      </c>
      <c r="DM17" t="str">
        <f t="shared" si="14"/>
        <v/>
      </c>
      <c r="DN17" t="str">
        <f t="shared" si="27"/>
        <v/>
      </c>
    </row>
    <row r="18" spans="1:118">
      <c r="A18" s="249">
        <f t="shared" si="15"/>
        <v>10</v>
      </c>
      <c r="B18" s="132" t="str">
        <f t="shared" si="0"/>
        <v>on</v>
      </c>
      <c r="C18" s="133" t="s">
        <v>209</v>
      </c>
      <c r="D18" s="134" t="str">
        <f t="shared" si="1"/>
        <v/>
      </c>
      <c r="E18" s="871"/>
      <c r="F18" s="872"/>
      <c r="G18" s="873"/>
      <c r="H18" s="313"/>
      <c r="I18" s="582"/>
      <c r="J18" s="440"/>
      <c r="K18" s="405"/>
      <c r="L18" s="405"/>
      <c r="M18" s="405"/>
      <c r="N18" s="334">
        <f t="shared" si="16"/>
        <v>0</v>
      </c>
      <c r="O18" s="334">
        <f t="shared" si="17"/>
        <v>0</v>
      </c>
      <c r="P18" s="334">
        <f>IF(Stamoplysninger!$H$29="JA",Januar!DG18,CX18)</f>
        <v>0</v>
      </c>
      <c r="Q18" s="334">
        <f t="shared" si="18"/>
        <v>0</v>
      </c>
      <c r="R18" s="335"/>
      <c r="S18" s="341"/>
      <c r="T18" s="342"/>
      <c r="U18" s="342"/>
      <c r="V18" s="336"/>
      <c r="W18" s="472"/>
      <c r="X18" s="337"/>
      <c r="Y18">
        <f t="shared" si="19"/>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1",B18="ma"),Arbejdstidsoversigt!$E$44,"")</f>
        <v/>
      </c>
      <c r="AH18" t="str">
        <f>IF(AND(C18="Skema 1",B18="ti"),Arbejdstidsoversigt!$E$45,"")</f>
        <v/>
      </c>
      <c r="AI18">
        <f>IF(AND(C18="Skema 1",B18="on"),Arbejdstidsoversigt!$E$46,"")</f>
        <v>0</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8"/>
        <v>0</v>
      </c>
      <c r="BC18" s="1">
        <f t="shared" si="21"/>
        <v>0</v>
      </c>
      <c r="BD18" s="1">
        <f t="shared" si="9"/>
        <v>0</v>
      </c>
      <c r="BE18" s="1">
        <f t="shared" si="10"/>
        <v>0</v>
      </c>
      <c r="BF18" s="1">
        <f t="shared" si="11"/>
        <v>0</v>
      </c>
      <c r="BG18" s="214" t="str">
        <f>IF(AND(C18="Skema 1",B18="ma"),Skemaoplysninger!$E$30,"")</f>
        <v/>
      </c>
      <c r="BH18" s="214" t="str">
        <f>IF(AND(C18="Skema 1",B18="ti"),Skemaoplysninger!$F$30,"")</f>
        <v/>
      </c>
      <c r="BI18" s="214">
        <f>IF(AND(C18="Skema 1",B18="on"),Skemaoplysninger!$G$30,"")</f>
        <v>0</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2"/>
        <v>0</v>
      </c>
      <c r="CC18" s="1">
        <f t="shared" si="13"/>
        <v>0</v>
      </c>
      <c r="CD18" s="214" t="str">
        <f>IF(AND(C18="Skema 1",B18="ma"),Skemaoplysninger!$E$39,"")</f>
        <v/>
      </c>
      <c r="CE18" s="214" t="str">
        <f>IF(AND(C18="Skema 1",B18="ti"),Skemaoplysninger!$F$39,"")</f>
        <v/>
      </c>
      <c r="CF18" s="214">
        <f>IF(AND(C18="Skema 1",B18="on"),Skemaoplysninger!$G$39,"")</f>
        <v>0</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4"/>
        <v/>
      </c>
      <c r="DL18" t="str">
        <f t="shared" si="14"/>
        <v/>
      </c>
      <c r="DM18" t="str">
        <f t="shared" si="14"/>
        <v/>
      </c>
      <c r="DN18" t="str">
        <f t="shared" si="27"/>
        <v/>
      </c>
    </row>
    <row r="19" spans="1:118">
      <c r="A19" s="249">
        <f t="shared" si="15"/>
        <v>11</v>
      </c>
      <c r="B19" s="132" t="str">
        <f t="shared" si="0"/>
        <v>to</v>
      </c>
      <c r="C19" s="133" t="s">
        <v>209</v>
      </c>
      <c r="D19" s="134" t="str">
        <f t="shared" si="1"/>
        <v/>
      </c>
      <c r="E19" s="871"/>
      <c r="F19" s="872"/>
      <c r="G19" s="873"/>
      <c r="H19" s="313"/>
      <c r="I19" s="582"/>
      <c r="J19" s="440"/>
      <c r="K19" s="405"/>
      <c r="L19" s="405"/>
      <c r="M19" s="405"/>
      <c r="N19" s="334">
        <f t="shared" si="16"/>
        <v>0</v>
      </c>
      <c r="O19" s="334">
        <f t="shared" si="17"/>
        <v>0</v>
      </c>
      <c r="P19" s="334">
        <f>IF(Stamoplysninger!$H$29="JA",Januar!DG19,CX19)</f>
        <v>0</v>
      </c>
      <c r="Q19" s="334">
        <f t="shared" si="18"/>
        <v>0</v>
      </c>
      <c r="R19" s="335"/>
      <c r="S19" s="341"/>
      <c r="T19" s="342"/>
      <c r="U19" s="342"/>
      <c r="V19" s="336"/>
      <c r="W19" s="472"/>
      <c r="X19" s="337"/>
      <c r="Y19">
        <f t="shared" si="19"/>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1",B19="ma"),Arbejdstidsoversigt!$E$44,"")</f>
        <v/>
      </c>
      <c r="AH19" t="str">
        <f>IF(AND(C19="Skema 1",B19="ti"),Arbejdstidsoversigt!$E$45,"")</f>
        <v/>
      </c>
      <c r="AI19" t="str">
        <f>IF(AND(C19="Skema 1",B19="on"),Arbejdstidsoversigt!$E$46,"")</f>
        <v/>
      </c>
      <c r="AJ19">
        <f>IF(AND(C19="Skema 1",B19="to"),Arbejdstidsoversigt!$E$47,"")</f>
        <v>0</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8"/>
        <v>0</v>
      </c>
      <c r="BC19" s="1">
        <f t="shared" si="21"/>
        <v>0</v>
      </c>
      <c r="BD19" s="1">
        <f t="shared" si="9"/>
        <v>0</v>
      </c>
      <c r="BE19" s="1">
        <f t="shared" si="10"/>
        <v>0</v>
      </c>
      <c r="BF19" s="1">
        <f t="shared" si="11"/>
        <v>0</v>
      </c>
      <c r="BG19" s="214" t="str">
        <f>IF(AND(C19="Skema 1",B19="ma"),Skemaoplysninger!$E$30,"")</f>
        <v/>
      </c>
      <c r="BH19" s="214" t="str">
        <f>IF(AND(C19="Skema 1",B19="ti"),Skemaoplysninger!$F$30,"")</f>
        <v/>
      </c>
      <c r="BI19" s="214" t="str">
        <f>IF(AND(C19="Skema 1",B19="on"),Skemaoplysninger!$G$30,"")</f>
        <v/>
      </c>
      <c r="BJ19" s="214">
        <f>IF(AND(C19="Skema 1",B19="to"),Skemaoplysninger!$H$30,"")</f>
        <v>0</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2"/>
        <v>0</v>
      </c>
      <c r="CC19" s="1">
        <f t="shared" si="13"/>
        <v>0</v>
      </c>
      <c r="CD19" s="214" t="str">
        <f>IF(AND(C19="Skema 1",B19="ma"),Skemaoplysninger!$E$39,"")</f>
        <v/>
      </c>
      <c r="CE19" s="214" t="str">
        <f>IF(AND(C19="Skema 1",B19="ti"),Skemaoplysninger!$F$39,"")</f>
        <v/>
      </c>
      <c r="CF19" s="214" t="str">
        <f>IF(AND(C19="Skema 1",B19="on"),Skemaoplysninger!$G$39,"")</f>
        <v/>
      </c>
      <c r="CG19" s="214">
        <f>IF(AND(C19="Skema 1",B19="to"),Skemaoplysninger!$H$39,"")</f>
        <v>0</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4"/>
        <v/>
      </c>
      <c r="DL19" t="str">
        <f t="shared" si="14"/>
        <v/>
      </c>
      <c r="DM19" t="str">
        <f t="shared" si="14"/>
        <v/>
      </c>
      <c r="DN19" t="str">
        <f t="shared" si="27"/>
        <v/>
      </c>
    </row>
    <row r="20" spans="1:118">
      <c r="A20" s="249">
        <f>IF(ISNUMBER(A19),A19+1,1)</f>
        <v>12</v>
      </c>
      <c r="B20" s="132" t="str">
        <f t="shared" si="0"/>
        <v>fr</v>
      </c>
      <c r="C20" s="133" t="s">
        <v>209</v>
      </c>
      <c r="D20" s="134" t="str">
        <f t="shared" si="1"/>
        <v/>
      </c>
      <c r="E20" s="871"/>
      <c r="F20" s="872"/>
      <c r="G20" s="873"/>
      <c r="H20" s="313"/>
      <c r="I20" s="582"/>
      <c r="J20" s="440"/>
      <c r="K20" s="405"/>
      <c r="L20" s="405"/>
      <c r="M20" s="405"/>
      <c r="N20" s="334">
        <f t="shared" si="16"/>
        <v>0</v>
      </c>
      <c r="O20" s="334">
        <f t="shared" si="17"/>
        <v>0</v>
      </c>
      <c r="P20" s="334">
        <f>IF(Stamoplysninger!$H$29="JA",Januar!DG20,CX20)</f>
        <v>0</v>
      </c>
      <c r="Q20" s="334">
        <f t="shared" si="18"/>
        <v>0</v>
      </c>
      <c r="R20" s="335"/>
      <c r="S20" s="341"/>
      <c r="T20" s="342"/>
      <c r="U20" s="342"/>
      <c r="V20" s="336"/>
      <c r="W20" s="472"/>
      <c r="X20" s="337"/>
      <c r="Y20">
        <f t="shared" si="19"/>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1",B20="ma"),Arbejdstidsoversigt!$E$44,"")</f>
        <v/>
      </c>
      <c r="AH20" t="str">
        <f>IF(AND(C20="Skema 1",B20="ti"),Arbejdstidsoversigt!$E$45,"")</f>
        <v/>
      </c>
      <c r="AI20" t="str">
        <f>IF(AND(C20="Skema 1",B20="on"),Arbejdstidsoversigt!$E$46,"")</f>
        <v/>
      </c>
      <c r="AJ20" t="str">
        <f>IF(AND(C20="Skema 1",B20="to"),Arbejdstidsoversigt!$E$47,"")</f>
        <v/>
      </c>
      <c r="AK20">
        <f>IF(AND(C20="Skema 1",B20="fr"),Arbejdstidsoversigt!$E$48,"")</f>
        <v>0</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8"/>
        <v>0</v>
      </c>
      <c r="BC20" s="1">
        <f t="shared" si="21"/>
        <v>0</v>
      </c>
      <c r="BD20" s="1">
        <f t="shared" si="9"/>
        <v>0</v>
      </c>
      <c r="BE20" s="1">
        <f t="shared" si="10"/>
        <v>0</v>
      </c>
      <c r="BF20" s="1">
        <f t="shared" si="11"/>
        <v>0</v>
      </c>
      <c r="BG20" s="214" t="str">
        <f>IF(AND(C20="Skema 1",B20="ma"),Skemaoplysninger!$E$30,"")</f>
        <v/>
      </c>
      <c r="BH20" s="214" t="str">
        <f>IF(AND(C20="Skema 1",B20="ti"),Skemaoplysninger!$F$30,"")</f>
        <v/>
      </c>
      <c r="BI20" s="214" t="str">
        <f>IF(AND(C20="Skema 1",B20="on"),Skemaoplysninger!$G$30,"")</f>
        <v/>
      </c>
      <c r="BJ20" s="214" t="str">
        <f>IF(AND(C20="Skema 1",B20="to"),Skemaoplysninger!$H$30,"")</f>
        <v/>
      </c>
      <c r="BK20" s="214">
        <f>IF(AND(C20="Skema 1",B20="fr"),Skemaoplysninger!$I$30,"")</f>
        <v>0</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2"/>
        <v>0</v>
      </c>
      <c r="CC20" s="1">
        <f t="shared" si="13"/>
        <v>0</v>
      </c>
      <c r="CD20" s="214" t="str">
        <f>IF(AND(C20="Skema 1",B20="ma"),Skemaoplysninger!$E$39,"")</f>
        <v/>
      </c>
      <c r="CE20" s="214" t="str">
        <f>IF(AND(C20="Skema 1",B20="ti"),Skemaoplysninger!$F$39,"")</f>
        <v/>
      </c>
      <c r="CF20" s="214" t="str">
        <f>IF(AND(C20="Skema 1",B20="on"),Skemaoplysninger!$G$39,"")</f>
        <v/>
      </c>
      <c r="CG20" s="214" t="str">
        <f>IF(AND(C20="Skema 1",B20="to"),Skemaoplysninger!$H$39,"")</f>
        <v/>
      </c>
      <c r="CH20" s="214">
        <f>IF(AND(C20="Skema 1",B20="fr"),Skemaoplysninger!$I$39,"")</f>
        <v>0</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f t="shared" si="25"/>
        <v>0</v>
      </c>
      <c r="DJ20">
        <f t="shared" si="26"/>
        <v>0</v>
      </c>
      <c r="DK20" t="str">
        <f t="shared" si="14"/>
        <v/>
      </c>
      <c r="DL20" t="str">
        <f t="shared" si="14"/>
        <v/>
      </c>
      <c r="DM20" t="str">
        <f t="shared" si="14"/>
        <v/>
      </c>
      <c r="DN20" t="str">
        <f t="shared" si="27"/>
        <v/>
      </c>
    </row>
    <row r="21" spans="1:118">
      <c r="A21" s="249">
        <f>IF(ISNUMBER(A20),A20+1,1)</f>
        <v>13</v>
      </c>
      <c r="B21" s="132" t="str">
        <f t="shared" si="0"/>
        <v>lø</v>
      </c>
      <c r="C21" s="133" t="s">
        <v>121</v>
      </c>
      <c r="D21" s="134" t="str">
        <f t="shared" si="1"/>
        <v/>
      </c>
      <c r="E21" s="868"/>
      <c r="F21" s="869"/>
      <c r="G21" s="870"/>
      <c r="H21" s="312"/>
      <c r="I21" s="440"/>
      <c r="J21" s="440"/>
      <c r="K21" s="405"/>
      <c r="L21" s="405"/>
      <c r="M21" s="405"/>
      <c r="N21" s="334">
        <f t="shared" si="16"/>
        <v>0</v>
      </c>
      <c r="O21" s="334">
        <f t="shared" si="17"/>
        <v>0</v>
      </c>
      <c r="P21" s="334">
        <f>IF(Stamoplysninger!$H$29="JA",Januar!DG21,CX21)</f>
        <v>0</v>
      </c>
      <c r="Q21" s="334">
        <f t="shared" si="18"/>
        <v>0</v>
      </c>
      <c r="R21" s="335"/>
      <c r="S21" s="341"/>
      <c r="T21" s="342"/>
      <c r="U21" s="342"/>
      <c r="V21" s="336"/>
      <c r="W21" s="472"/>
      <c r="X21" s="337"/>
      <c r="Y21">
        <f t="shared" si="19"/>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1",B21="ma"),Arbejdstidsoversigt!$E$44,"")</f>
        <v/>
      </c>
      <c r="AH21" t="str">
        <f>IF(AND(C21="Skema 1",B21="ti"),Arbejdstidsoversigt!$E$45,"")</f>
        <v/>
      </c>
      <c r="AI21" t="str">
        <f>IF(AND(C21="Skema 1",B21="on"),Arbejdstidsoversigt!$E$46,"")</f>
        <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8"/>
        <v>0</v>
      </c>
      <c r="BC21" s="1">
        <f t="shared" si="21"/>
        <v>0</v>
      </c>
      <c r="BD21" s="1">
        <f t="shared" si="9"/>
        <v>0</v>
      </c>
      <c r="BE21" s="1">
        <f t="shared" si="10"/>
        <v>0</v>
      </c>
      <c r="BF21" s="1">
        <f t="shared" si="11"/>
        <v>0</v>
      </c>
      <c r="BG21" s="214" t="str">
        <f>IF(AND(C21="Skema 1",B21="ma"),Skemaoplysninger!$E$30,"")</f>
        <v/>
      </c>
      <c r="BH21" s="214" t="str">
        <f>IF(AND(C21="Skema 1",B21="ti"),Skemaoplysninger!$F$30,"")</f>
        <v/>
      </c>
      <c r="BI21" s="214" t="str">
        <f>IF(AND(C21="Skema 1",B21="on"),Skemaoplysninger!$G$30,"")</f>
        <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2"/>
        <v>0</v>
      </c>
      <c r="CC21" s="1">
        <f t="shared" si="13"/>
        <v>0</v>
      </c>
      <c r="CD21" s="214" t="str">
        <f>IF(AND(C21="Skema 1",B21="ma"),Skemaoplysninger!$E$39,"")</f>
        <v/>
      </c>
      <c r="CE21" s="214" t="str">
        <f>IF(AND(C21="Skema 1",B21="ti"),Skemaoplysninger!$F$39,"")</f>
        <v/>
      </c>
      <c r="CF21" s="214" t="str">
        <f>IF(AND(C21="Skema 1",B21="on"),Skemaoplysninger!$G$39,"")</f>
        <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4"/>
        <v/>
      </c>
      <c r="DL21" t="str">
        <f t="shared" si="14"/>
        <v/>
      </c>
      <c r="DM21" t="str">
        <f t="shared" si="14"/>
        <v/>
      </c>
      <c r="DN21" t="str">
        <f t="shared" si="27"/>
        <v/>
      </c>
    </row>
    <row r="22" spans="1:118">
      <c r="A22" s="249">
        <f t="shared" si="15"/>
        <v>14</v>
      </c>
      <c r="B22" s="132" t="str">
        <f t="shared" si="0"/>
        <v>sø</v>
      </c>
      <c r="C22" s="133" t="s">
        <v>121</v>
      </c>
      <c r="D22" s="134" t="str">
        <f t="shared" si="1"/>
        <v/>
      </c>
      <c r="E22" s="868"/>
      <c r="F22" s="869"/>
      <c r="G22" s="870"/>
      <c r="H22" s="312"/>
      <c r="I22" s="440"/>
      <c r="J22" s="440"/>
      <c r="K22" s="405"/>
      <c r="L22" s="405"/>
      <c r="M22" s="405"/>
      <c r="N22" s="334">
        <f t="shared" si="16"/>
        <v>0</v>
      </c>
      <c r="O22" s="334">
        <f t="shared" si="17"/>
        <v>0</v>
      </c>
      <c r="P22" s="334">
        <f>IF(Stamoplysninger!$H$29="JA",Januar!DG22,CX22)</f>
        <v>0</v>
      </c>
      <c r="Q22" s="334">
        <f t="shared" si="18"/>
        <v>0</v>
      </c>
      <c r="R22" s="335"/>
      <c r="S22" s="341"/>
      <c r="T22" s="342"/>
      <c r="U22" s="342"/>
      <c r="V22" s="336"/>
      <c r="W22" s="472"/>
      <c r="X22" s="337"/>
      <c r="Y22">
        <f t="shared" si="19"/>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1",B22="ma"),Arbejdstidsoversigt!$E$44,"")</f>
        <v/>
      </c>
      <c r="AH22" t="str">
        <f>IF(AND(C22="Skema 1",B22="ti"),Arbejdstidsoversigt!$E$45,"")</f>
        <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8"/>
        <v>0</v>
      </c>
      <c r="BC22" s="1">
        <f t="shared" si="21"/>
        <v>0</v>
      </c>
      <c r="BD22" s="1">
        <f t="shared" si="9"/>
        <v>0</v>
      </c>
      <c r="BE22" s="1">
        <f t="shared" si="10"/>
        <v>0</v>
      </c>
      <c r="BF22" s="1">
        <f t="shared" si="11"/>
        <v>0</v>
      </c>
      <c r="BG22" s="214" t="str">
        <f>IF(AND(C22="Skema 1",B22="ma"),Skemaoplysninger!$E$30,"")</f>
        <v/>
      </c>
      <c r="BH22" s="214" t="str">
        <f>IF(AND(C22="Skema 1",B22="ti"),Skemaoplysninger!$F$30,"")</f>
        <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2"/>
        <v>0</v>
      </c>
      <c r="CC22" s="1">
        <f t="shared" si="13"/>
        <v>0</v>
      </c>
      <c r="CD22" s="214" t="str">
        <f>IF(AND(C22="Skema 1",B22="ma"),Skemaoplysninger!$E$39,"")</f>
        <v/>
      </c>
      <c r="CE22" s="214" t="str">
        <f>IF(AND(C22="Skema 1",B22="ti"),Skemaoplysninger!$F$39,"")</f>
        <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4"/>
        <v/>
      </c>
      <c r="DL22" t="str">
        <f t="shared" si="14"/>
        <v/>
      </c>
      <c r="DM22" t="str">
        <f t="shared" si="14"/>
        <v/>
      </c>
      <c r="DN22" t="str">
        <f t="shared" si="27"/>
        <v/>
      </c>
    </row>
    <row r="23" spans="1:118">
      <c r="A23" s="249">
        <f t="shared" si="15"/>
        <v>15</v>
      </c>
      <c r="B23" s="132" t="str">
        <f t="shared" si="0"/>
        <v>ma</v>
      </c>
      <c r="C23" s="133" t="s">
        <v>209</v>
      </c>
      <c r="D23" s="134">
        <f t="shared" si="1"/>
        <v>3</v>
      </c>
      <c r="E23" s="868"/>
      <c r="F23" s="869"/>
      <c r="G23" s="870"/>
      <c r="H23" s="312"/>
      <c r="I23" s="582"/>
      <c r="J23" s="440"/>
      <c r="K23" s="405"/>
      <c r="L23" s="405"/>
      <c r="M23" s="405"/>
      <c r="N23" s="334">
        <f t="shared" si="16"/>
        <v>0</v>
      </c>
      <c r="O23" s="334">
        <f t="shared" si="17"/>
        <v>0</v>
      </c>
      <c r="P23" s="334">
        <f>IF(Stamoplysninger!$H$29="JA",Januar!DG23,CX23)</f>
        <v>0</v>
      </c>
      <c r="Q23" s="334">
        <f t="shared" si="18"/>
        <v>0</v>
      </c>
      <c r="R23" s="335"/>
      <c r="S23" s="341"/>
      <c r="T23" s="342"/>
      <c r="U23" s="342"/>
      <c r="V23" s="336"/>
      <c r="W23" s="472"/>
      <c r="X23" s="337"/>
      <c r="Y23">
        <f t="shared" si="19"/>
        <v>0</v>
      </c>
      <c r="Z23">
        <f t="shared" si="2"/>
        <v>0</v>
      </c>
      <c r="AA23" s="1">
        <f t="shared" si="3"/>
        <v>0</v>
      </c>
      <c r="AB23" s="1">
        <f t="shared" si="4"/>
        <v>0</v>
      </c>
      <c r="AC23" s="1">
        <f t="shared" si="5"/>
        <v>0</v>
      </c>
      <c r="AD23" s="1">
        <f t="shared" si="6"/>
        <v>0</v>
      </c>
      <c r="AE23" s="1">
        <f t="shared" si="7"/>
        <v>0</v>
      </c>
      <c r="AF23" s="1">
        <f>IF(C23="Orlov",7.4*Stamoplysninger!$E$15,0)</f>
        <v>0</v>
      </c>
      <c r="AG23">
        <f>IF(AND(C23="Skema 1",B23="ma"),Arbejdstidsoversigt!$E$44,"")</f>
        <v>0</v>
      </c>
      <c r="AH23" t="str">
        <f>IF(AND(C23="Skema 1",B23="ti"),Arbejdstidsoversigt!$E$45,"")</f>
        <v/>
      </c>
      <c r="AI23" t="str">
        <f>IF(AND(C23="Skema 1",B23="on"),Arbejdstidsoversigt!$E$46,"")</f>
        <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8"/>
        <v>0</v>
      </c>
      <c r="BC23" s="1">
        <f t="shared" si="21"/>
        <v>0</v>
      </c>
      <c r="BD23" s="1">
        <f t="shared" si="9"/>
        <v>0</v>
      </c>
      <c r="BE23" s="1">
        <f t="shared" si="10"/>
        <v>0</v>
      </c>
      <c r="BF23" s="1">
        <f t="shared" si="11"/>
        <v>0</v>
      </c>
      <c r="BG23" s="214">
        <f>IF(AND(C23="Skema 1",B23="ma"),Skemaoplysninger!$E$30,"")</f>
        <v>0</v>
      </c>
      <c r="BH23" s="214" t="str">
        <f>IF(AND(C23="Skema 1",B23="ti"),Skemaoplysninger!$F$30,"")</f>
        <v/>
      </c>
      <c r="BI23" s="214" t="str">
        <f>IF(AND(C23="Skema 1",B23="on"),Skemaoplysninger!$G$30,"")</f>
        <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2"/>
        <v>0</v>
      </c>
      <c r="CC23" s="1">
        <f t="shared" si="13"/>
        <v>0</v>
      </c>
      <c r="CD23" s="214">
        <f>IF(AND(C23="Skema 1",B23="ma"),Skemaoplysninger!$E$39,"")</f>
        <v>0</v>
      </c>
      <c r="CE23" s="214" t="str">
        <f>IF(AND(C23="Skema 1",B23="ti"),Skemaoplysninger!$F$39,"")</f>
        <v/>
      </c>
      <c r="CF23" s="214" t="str">
        <f>IF(AND(C23="Skema 1",B23="on"),Skemaoplysninger!$G$39,"")</f>
        <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4"/>
        <v/>
      </c>
      <c r="DL23" t="str">
        <f t="shared" si="14"/>
        <v/>
      </c>
      <c r="DM23" t="str">
        <f t="shared" si="14"/>
        <v/>
      </c>
      <c r="DN23" t="str">
        <f t="shared" si="27"/>
        <v/>
      </c>
    </row>
    <row r="24" spans="1:118">
      <c r="A24" s="249">
        <f>IF(ISNUMBER(A23),A23+1,1)</f>
        <v>16</v>
      </c>
      <c r="B24" s="132" t="str">
        <f t="shared" si="0"/>
        <v>ti</v>
      </c>
      <c r="C24" s="133" t="s">
        <v>209</v>
      </c>
      <c r="D24" s="134" t="str">
        <f t="shared" si="1"/>
        <v/>
      </c>
      <c r="E24" s="871"/>
      <c r="F24" s="872"/>
      <c r="G24" s="873"/>
      <c r="H24" s="313"/>
      <c r="I24" s="582"/>
      <c r="J24" s="440"/>
      <c r="K24" s="405"/>
      <c r="L24" s="405"/>
      <c r="M24" s="405"/>
      <c r="N24" s="334">
        <f t="shared" si="16"/>
        <v>0</v>
      </c>
      <c r="O24" s="334">
        <f t="shared" si="17"/>
        <v>0</v>
      </c>
      <c r="P24" s="334">
        <f>IF(Stamoplysninger!$H$29="JA",Januar!DG24,CX24)</f>
        <v>0</v>
      </c>
      <c r="Q24" s="334">
        <f t="shared" si="18"/>
        <v>0</v>
      </c>
      <c r="R24" s="335"/>
      <c r="S24" s="341"/>
      <c r="T24" s="342"/>
      <c r="U24" s="342"/>
      <c r="V24" s="336"/>
      <c r="W24" s="472"/>
      <c r="X24" s="337"/>
      <c r="Y24">
        <f t="shared" si="19"/>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1",B24="ma"),Arbejdstidsoversigt!$E$44,"")</f>
        <v/>
      </c>
      <c r="AH24">
        <f>IF(AND(C24="Skema 1",B24="ti"),Arbejdstidsoversigt!$E$45,"")</f>
        <v>0</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8"/>
        <v>0</v>
      </c>
      <c r="BC24" s="1">
        <f t="shared" si="21"/>
        <v>0</v>
      </c>
      <c r="BD24" s="1">
        <f t="shared" si="9"/>
        <v>0</v>
      </c>
      <c r="BE24" s="1">
        <f t="shared" si="10"/>
        <v>0</v>
      </c>
      <c r="BF24" s="1">
        <f t="shared" si="11"/>
        <v>0</v>
      </c>
      <c r="BG24" s="214" t="str">
        <f>IF(AND(C24="Skema 1",B24="ma"),Skemaoplysninger!$E$30,"")</f>
        <v/>
      </c>
      <c r="BH24" s="214">
        <f>IF(AND(C24="Skema 1",B24="ti"),Skemaoplysninger!$F$30,"")</f>
        <v>0</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2"/>
        <v>0</v>
      </c>
      <c r="CC24" s="1">
        <f t="shared" si="13"/>
        <v>0</v>
      </c>
      <c r="CD24" s="214" t="str">
        <f>IF(AND(C24="Skema 1",B24="ma"),Skemaoplysninger!$E$39,"")</f>
        <v/>
      </c>
      <c r="CE24" s="214">
        <f>IF(AND(C24="Skema 1",B24="ti"),Skemaoplysninger!$F$39,"")</f>
        <v>0</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f t="shared" si="25"/>
        <v>0</v>
      </c>
      <c r="DJ24">
        <f t="shared" si="26"/>
        <v>0</v>
      </c>
      <c r="DK24" t="str">
        <f t="shared" si="14"/>
        <v/>
      </c>
      <c r="DL24" t="str">
        <f t="shared" si="14"/>
        <v/>
      </c>
      <c r="DM24" t="str">
        <f t="shared" si="14"/>
        <v/>
      </c>
      <c r="DN24" t="str">
        <f t="shared" si="27"/>
        <v/>
      </c>
    </row>
    <row r="25" spans="1:118">
      <c r="A25" s="249">
        <f t="shared" si="15"/>
        <v>17</v>
      </c>
      <c r="B25" s="132" t="str">
        <f t="shared" si="0"/>
        <v>on</v>
      </c>
      <c r="C25" s="133" t="s">
        <v>209</v>
      </c>
      <c r="D25" s="134" t="str">
        <f t="shared" si="1"/>
        <v/>
      </c>
      <c r="E25" s="871"/>
      <c r="F25" s="872"/>
      <c r="G25" s="873"/>
      <c r="H25" s="313"/>
      <c r="I25" s="582"/>
      <c r="J25" s="440"/>
      <c r="K25" s="405"/>
      <c r="L25" s="405"/>
      <c r="M25" s="405"/>
      <c r="N25" s="334">
        <f t="shared" si="16"/>
        <v>0</v>
      </c>
      <c r="O25" s="334">
        <f t="shared" si="17"/>
        <v>0</v>
      </c>
      <c r="P25" s="334">
        <f>IF(Stamoplysninger!$H$29="JA",Januar!DG25,CX25)</f>
        <v>0</v>
      </c>
      <c r="Q25" s="334">
        <f t="shared" si="18"/>
        <v>0</v>
      </c>
      <c r="R25" s="335"/>
      <c r="S25" s="341"/>
      <c r="T25" s="342"/>
      <c r="U25" s="342"/>
      <c r="V25" s="336"/>
      <c r="W25" s="472"/>
      <c r="X25" s="337"/>
      <c r="Y25">
        <f t="shared" si="19"/>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1",B25="ma"),Arbejdstidsoversigt!$E$44,"")</f>
        <v/>
      </c>
      <c r="AH25" t="str">
        <f>IF(AND(C25="Skema 1",B25="ti"),Arbejdstidsoversigt!$E$45,"")</f>
        <v/>
      </c>
      <c r="AI25">
        <f>IF(AND(C25="Skema 1",B25="on"),Arbejdstidsoversigt!$E$46,"")</f>
        <v>0</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8"/>
        <v>0</v>
      </c>
      <c r="BC25" s="1">
        <f t="shared" si="21"/>
        <v>0</v>
      </c>
      <c r="BD25" s="1">
        <f t="shared" si="9"/>
        <v>0</v>
      </c>
      <c r="BE25" s="1">
        <f t="shared" si="10"/>
        <v>0</v>
      </c>
      <c r="BF25" s="1">
        <f t="shared" si="11"/>
        <v>0</v>
      </c>
      <c r="BG25" s="214" t="str">
        <f>IF(AND(C25="Skema 1",B25="ma"),Skemaoplysninger!$E$30,"")</f>
        <v/>
      </c>
      <c r="BH25" s="214" t="str">
        <f>IF(AND(C25="Skema 1",B25="ti"),Skemaoplysninger!$F$30,"")</f>
        <v/>
      </c>
      <c r="BI25" s="214">
        <f>IF(AND(C25="Skema 1",B25="on"),Skemaoplysninger!$G$30,"")</f>
        <v>0</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2"/>
        <v>0</v>
      </c>
      <c r="CC25" s="1">
        <f t="shared" si="13"/>
        <v>0</v>
      </c>
      <c r="CD25" s="214" t="str">
        <f>IF(AND(C25="Skema 1",B25="ma"),Skemaoplysninger!$E$39,"")</f>
        <v/>
      </c>
      <c r="CE25" s="214" t="str">
        <f>IF(AND(C25="Skema 1",B25="ti"),Skemaoplysninger!$F$39,"")</f>
        <v/>
      </c>
      <c r="CF25" s="214">
        <f>IF(AND(C25="Skema 1",B25="on"),Skemaoplysninger!$G$39,"")</f>
        <v>0</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4"/>
        <v/>
      </c>
      <c r="DL25" t="str">
        <f t="shared" si="14"/>
        <v/>
      </c>
      <c r="DM25" t="str">
        <f t="shared" si="14"/>
        <v/>
      </c>
      <c r="DN25" t="str">
        <f t="shared" si="27"/>
        <v/>
      </c>
    </row>
    <row r="26" spans="1:118">
      <c r="A26" s="249">
        <f t="shared" si="15"/>
        <v>18</v>
      </c>
      <c r="B26" s="132" t="str">
        <f t="shared" si="0"/>
        <v>to</v>
      </c>
      <c r="C26" s="133" t="s">
        <v>209</v>
      </c>
      <c r="D26" s="134" t="str">
        <f t="shared" si="1"/>
        <v/>
      </c>
      <c r="E26" s="871"/>
      <c r="F26" s="872"/>
      <c r="G26" s="873"/>
      <c r="H26" s="313"/>
      <c r="I26" s="582"/>
      <c r="J26" s="440"/>
      <c r="K26" s="405"/>
      <c r="L26" s="405"/>
      <c r="M26" s="405"/>
      <c r="N26" s="334">
        <f t="shared" si="16"/>
        <v>0</v>
      </c>
      <c r="O26" s="334">
        <f t="shared" si="17"/>
        <v>0</v>
      </c>
      <c r="P26" s="334">
        <f>IF(Stamoplysninger!$H$29="JA",Januar!DG26,CX26)</f>
        <v>0</v>
      </c>
      <c r="Q26" s="334">
        <f t="shared" si="18"/>
        <v>0</v>
      </c>
      <c r="R26" s="335"/>
      <c r="S26" s="341"/>
      <c r="T26" s="342"/>
      <c r="U26" s="342"/>
      <c r="V26" s="336"/>
      <c r="W26" s="472"/>
      <c r="X26" s="337"/>
      <c r="Y26">
        <f t="shared" si="19"/>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1",B26="ma"),Arbejdstidsoversigt!$E$44,"")</f>
        <v/>
      </c>
      <c r="AH26" t="str">
        <f>IF(AND(C26="Skema 1",B26="ti"),Arbejdstidsoversigt!$E$45,"")</f>
        <v/>
      </c>
      <c r="AI26" t="str">
        <f>IF(AND(C26="Skema 1",B26="on"),Arbejdstidsoversigt!$E$46,"")</f>
        <v/>
      </c>
      <c r="AJ26">
        <f>IF(AND(C26="Skema 1",B26="to"),Arbejdstidsoversigt!$E$47,"")</f>
        <v>0</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8"/>
        <v>0</v>
      </c>
      <c r="BC26" s="1">
        <f t="shared" si="21"/>
        <v>0</v>
      </c>
      <c r="BD26" s="1">
        <f t="shared" si="9"/>
        <v>0</v>
      </c>
      <c r="BE26" s="1">
        <f t="shared" si="10"/>
        <v>0</v>
      </c>
      <c r="BF26" s="1">
        <f t="shared" si="11"/>
        <v>0</v>
      </c>
      <c r="BG26" s="214" t="str">
        <f>IF(AND(C26="Skema 1",B26="ma"),Skemaoplysninger!$E$30,"")</f>
        <v/>
      </c>
      <c r="BH26" s="214" t="str">
        <f>IF(AND(C26="Skema 1",B26="ti"),Skemaoplysninger!$F$30,"")</f>
        <v/>
      </c>
      <c r="BI26" s="214" t="str">
        <f>IF(AND(C26="Skema 1",B26="on"),Skemaoplysninger!$G$30,"")</f>
        <v/>
      </c>
      <c r="BJ26" s="214">
        <f>IF(AND(C26="Skema 1",B26="to"),Skemaoplysninger!$H$30,"")</f>
        <v>0</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2"/>
        <v>0</v>
      </c>
      <c r="CC26" s="1">
        <f t="shared" si="13"/>
        <v>0</v>
      </c>
      <c r="CD26" s="214" t="str">
        <f>IF(AND(C26="Skema 1",B26="ma"),Skemaoplysninger!$E$39,"")</f>
        <v/>
      </c>
      <c r="CE26" s="214" t="str">
        <f>IF(AND(C26="Skema 1",B26="ti"),Skemaoplysninger!$F$39,"")</f>
        <v/>
      </c>
      <c r="CF26" s="214" t="str">
        <f>IF(AND(C26="Skema 1",B26="on"),Skemaoplysninger!$G$39,"")</f>
        <v/>
      </c>
      <c r="CG26" s="214">
        <f>IF(AND(C26="Skema 1",B26="to"),Skemaoplysninger!$H$39,"")</f>
        <v>0</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4"/>
        <v/>
      </c>
      <c r="DL26" t="str">
        <f t="shared" si="14"/>
        <v/>
      </c>
      <c r="DM26" t="str">
        <f t="shared" si="14"/>
        <v/>
      </c>
      <c r="DN26" t="str">
        <f t="shared" si="27"/>
        <v/>
      </c>
    </row>
    <row r="27" spans="1:118">
      <c r="A27" s="249">
        <f t="shared" si="15"/>
        <v>19</v>
      </c>
      <c r="B27" s="132" t="str">
        <f t="shared" si="0"/>
        <v>fr</v>
      </c>
      <c r="C27" s="133" t="s">
        <v>209</v>
      </c>
      <c r="D27" s="134" t="str">
        <f t="shared" si="1"/>
        <v/>
      </c>
      <c r="E27" s="871"/>
      <c r="F27" s="872"/>
      <c r="G27" s="873"/>
      <c r="H27" s="313"/>
      <c r="I27" s="582"/>
      <c r="J27" s="440"/>
      <c r="K27" s="405"/>
      <c r="L27" s="405"/>
      <c r="M27" s="405"/>
      <c r="N27" s="334">
        <f t="shared" si="16"/>
        <v>0</v>
      </c>
      <c r="O27" s="334">
        <f t="shared" si="17"/>
        <v>0</v>
      </c>
      <c r="P27" s="334">
        <f>IF(Stamoplysninger!$H$29="JA",Januar!DG27,CX27)</f>
        <v>0</v>
      </c>
      <c r="Q27" s="334">
        <f t="shared" si="18"/>
        <v>0</v>
      </c>
      <c r="R27" s="335"/>
      <c r="S27" s="341"/>
      <c r="T27" s="342"/>
      <c r="U27" s="342"/>
      <c r="V27" s="336"/>
      <c r="W27" s="472"/>
      <c r="X27" s="337"/>
      <c r="Y27">
        <f t="shared" si="19"/>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1",B27="ma"),Arbejdstidsoversigt!$E$44,"")</f>
        <v/>
      </c>
      <c r="AH27" t="str">
        <f>IF(AND(C27="Skema 1",B27="ti"),Arbejdstidsoversigt!$E$45,"")</f>
        <v/>
      </c>
      <c r="AI27" t="str">
        <f>IF(AND(C27="Skema 1",B27="on"),Arbejdstidsoversigt!$E$46,"")</f>
        <v/>
      </c>
      <c r="AJ27" t="str">
        <f>IF(AND(C27="Skema 1",B27="to"),Arbejdstidsoversigt!$E$47,"")</f>
        <v/>
      </c>
      <c r="AK27">
        <f>IF(AND(C27="Skema 1",B27="fr"),Arbejdstidsoversigt!$E$48,"")</f>
        <v>0</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8"/>
        <v>0</v>
      </c>
      <c r="BC27" s="1">
        <f t="shared" si="21"/>
        <v>0</v>
      </c>
      <c r="BD27" s="1">
        <f t="shared" si="9"/>
        <v>0</v>
      </c>
      <c r="BE27" s="1">
        <f t="shared" si="10"/>
        <v>0</v>
      </c>
      <c r="BF27" s="1">
        <f t="shared" si="11"/>
        <v>0</v>
      </c>
      <c r="BG27" s="214" t="str">
        <f>IF(AND(C27="Skema 1",B27="ma"),Skemaoplysninger!$E$30,"")</f>
        <v/>
      </c>
      <c r="BH27" s="214" t="str">
        <f>IF(AND(C27="Skema 1",B27="ti"),Skemaoplysninger!$F$30,"")</f>
        <v/>
      </c>
      <c r="BI27" s="214" t="str">
        <f>IF(AND(C27="Skema 1",B27="on"),Skemaoplysninger!$G$30,"")</f>
        <v/>
      </c>
      <c r="BJ27" s="214" t="str">
        <f>IF(AND(C27="Skema 1",B27="to"),Skemaoplysninger!$H$30,"")</f>
        <v/>
      </c>
      <c r="BK27" s="214">
        <f>IF(AND(C27="Skema 1",B27="fr"),Skemaoplysninger!$I$30,"")</f>
        <v>0</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2"/>
        <v>0</v>
      </c>
      <c r="CC27" s="1">
        <f t="shared" si="13"/>
        <v>0</v>
      </c>
      <c r="CD27" s="214" t="str">
        <f>IF(AND(C27="Skema 1",B27="ma"),Skemaoplysninger!$E$39,"")</f>
        <v/>
      </c>
      <c r="CE27" s="214" t="str">
        <f>IF(AND(C27="Skema 1",B27="ti"),Skemaoplysninger!$F$39,"")</f>
        <v/>
      </c>
      <c r="CF27" s="214" t="str">
        <f>IF(AND(C27="Skema 1",B27="on"),Skemaoplysninger!$G$39,"")</f>
        <v/>
      </c>
      <c r="CG27" s="214" t="str">
        <f>IF(AND(C27="Skema 1",B27="to"),Skemaoplysninger!$H$39,"")</f>
        <v/>
      </c>
      <c r="CH27" s="214">
        <f>IF(AND(C27="Skema 1",B27="fr"),Skemaoplysninger!$I$39,"")</f>
        <v>0</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f t="shared" si="25"/>
        <v>0</v>
      </c>
      <c r="DJ27">
        <f t="shared" si="26"/>
        <v>0</v>
      </c>
      <c r="DK27" t="str">
        <f t="shared" si="14"/>
        <v/>
      </c>
      <c r="DL27" t="str">
        <f t="shared" si="14"/>
        <v/>
      </c>
      <c r="DM27" t="str">
        <f t="shared" si="14"/>
        <v/>
      </c>
      <c r="DN27" t="str">
        <f t="shared" si="27"/>
        <v/>
      </c>
    </row>
    <row r="28" spans="1:118">
      <c r="A28" s="249">
        <f t="shared" si="15"/>
        <v>20</v>
      </c>
      <c r="B28" s="132" t="str">
        <f t="shared" si="0"/>
        <v>lø</v>
      </c>
      <c r="C28" s="133" t="s">
        <v>121</v>
      </c>
      <c r="D28" s="134" t="str">
        <f t="shared" si="1"/>
        <v/>
      </c>
      <c r="E28" s="871"/>
      <c r="F28" s="872"/>
      <c r="G28" s="873"/>
      <c r="H28" s="313"/>
      <c r="I28" s="440"/>
      <c r="J28" s="440"/>
      <c r="K28" s="405"/>
      <c r="L28" s="405"/>
      <c r="M28" s="405"/>
      <c r="N28" s="334">
        <f t="shared" si="16"/>
        <v>0</v>
      </c>
      <c r="O28" s="334">
        <f t="shared" si="17"/>
        <v>0</v>
      </c>
      <c r="P28" s="334">
        <f>IF(Stamoplysninger!$H$29="JA",Januar!DG28,CX28)</f>
        <v>0</v>
      </c>
      <c r="Q28" s="334">
        <f t="shared" si="18"/>
        <v>0</v>
      </c>
      <c r="R28" s="335"/>
      <c r="S28" s="341"/>
      <c r="T28" s="342"/>
      <c r="U28" s="342"/>
      <c r="V28" s="336"/>
      <c r="W28" s="472"/>
      <c r="X28" s="337"/>
      <c r="Y28">
        <f t="shared" si="19"/>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1",B28="ma"),Arbejdstidsoversigt!$E$44,"")</f>
        <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8"/>
        <v>0</v>
      </c>
      <c r="BC28" s="1">
        <f t="shared" si="21"/>
        <v>0</v>
      </c>
      <c r="BD28" s="1">
        <f t="shared" si="9"/>
        <v>0</v>
      </c>
      <c r="BE28" s="1">
        <f t="shared" si="10"/>
        <v>0</v>
      </c>
      <c r="BF28" s="1">
        <f t="shared" si="11"/>
        <v>0</v>
      </c>
      <c r="BG28" s="214" t="str">
        <f>IF(AND(C28="Skema 1",B28="ma"),Skemaoplysninger!$E$30,"")</f>
        <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2"/>
        <v>0</v>
      </c>
      <c r="CC28" s="1">
        <f t="shared" si="13"/>
        <v>0</v>
      </c>
      <c r="CD28" s="214" t="str">
        <f>IF(AND(C28="Skema 1",B28="ma"),Skemaoplysninger!$E$39,"")</f>
        <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4"/>
        <v/>
      </c>
      <c r="DL28" t="str">
        <f t="shared" si="14"/>
        <v/>
      </c>
      <c r="DM28" t="str">
        <f t="shared" si="14"/>
        <v/>
      </c>
      <c r="DN28" t="str">
        <f t="shared" si="27"/>
        <v/>
      </c>
    </row>
    <row r="29" spans="1:118">
      <c r="A29" s="249">
        <f t="shared" si="15"/>
        <v>21</v>
      </c>
      <c r="B29" s="132" t="str">
        <f t="shared" si="0"/>
        <v>sø</v>
      </c>
      <c r="C29" s="133" t="s">
        <v>121</v>
      </c>
      <c r="D29" s="134" t="str">
        <f t="shared" si="1"/>
        <v/>
      </c>
      <c r="E29" s="871"/>
      <c r="F29" s="872"/>
      <c r="G29" s="873"/>
      <c r="H29" s="313"/>
      <c r="I29" s="440"/>
      <c r="J29" s="440"/>
      <c r="K29" s="405"/>
      <c r="L29" s="405"/>
      <c r="M29" s="405"/>
      <c r="N29" s="334">
        <f t="shared" si="16"/>
        <v>0</v>
      </c>
      <c r="O29" s="334">
        <f t="shared" si="17"/>
        <v>0</v>
      </c>
      <c r="P29" s="334">
        <f>IF(Stamoplysninger!$H$29="JA",Januar!DG29,CX29)</f>
        <v>0</v>
      </c>
      <c r="Q29" s="334">
        <f t="shared" si="18"/>
        <v>0</v>
      </c>
      <c r="R29" s="335"/>
      <c r="S29" s="341"/>
      <c r="T29" s="342"/>
      <c r="U29" s="342"/>
      <c r="V29" s="336"/>
      <c r="W29" s="472"/>
      <c r="X29" s="337"/>
      <c r="Y29">
        <f t="shared" si="19"/>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1",B29="ma"),Arbejdstidsoversigt!$E$44,"")</f>
        <v/>
      </c>
      <c r="AH29" t="str">
        <f>IF(AND(C29="Skema 1",B29="ti"),Arbejdstidsoversigt!$E$45,"")</f>
        <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8"/>
        <v>0</v>
      </c>
      <c r="BC29" s="1">
        <f t="shared" si="21"/>
        <v>0</v>
      </c>
      <c r="BD29" s="1">
        <f t="shared" si="9"/>
        <v>0</v>
      </c>
      <c r="BE29" s="1">
        <f t="shared" si="10"/>
        <v>0</v>
      </c>
      <c r="BF29" s="1">
        <f t="shared" si="11"/>
        <v>0</v>
      </c>
      <c r="BG29" s="214" t="str">
        <f>IF(AND(C29="Skema 1",B29="ma"),Skemaoplysninger!$E$30,"")</f>
        <v/>
      </c>
      <c r="BH29" s="214" t="str">
        <f>IF(AND(C29="Skema 1",B29="ti"),Skemaoplysninger!$F$30,"")</f>
        <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2"/>
        <v>0</v>
      </c>
      <c r="CC29" s="1">
        <f t="shared" si="13"/>
        <v>0</v>
      </c>
      <c r="CD29" s="214" t="str">
        <f>IF(AND(C29="Skema 1",B29="ma"),Skemaoplysninger!$E$39,"")</f>
        <v/>
      </c>
      <c r="CE29" s="214" t="str">
        <f>IF(AND(C29="Skema 1",B29="ti"),Skemaoplysninger!$F$39,"")</f>
        <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4"/>
        <v/>
      </c>
      <c r="DL29" t="str">
        <f t="shared" si="14"/>
        <v/>
      </c>
      <c r="DM29" t="str">
        <f t="shared" si="14"/>
        <v/>
      </c>
      <c r="DN29" t="str">
        <f t="shared" si="27"/>
        <v/>
      </c>
    </row>
    <row r="30" spans="1:118">
      <c r="A30" s="249">
        <f t="shared" si="15"/>
        <v>22</v>
      </c>
      <c r="B30" s="132" t="str">
        <f t="shared" si="0"/>
        <v>ma</v>
      </c>
      <c r="C30" s="133" t="s">
        <v>209</v>
      </c>
      <c r="D30" s="134">
        <f t="shared" si="1"/>
        <v>4</v>
      </c>
      <c r="E30" s="871"/>
      <c r="F30" s="872"/>
      <c r="G30" s="873"/>
      <c r="H30" s="313"/>
      <c r="I30" s="582"/>
      <c r="J30" s="440"/>
      <c r="K30" s="405"/>
      <c r="L30" s="405"/>
      <c r="M30" s="405"/>
      <c r="N30" s="334">
        <f t="shared" si="16"/>
        <v>0</v>
      </c>
      <c r="O30" s="334">
        <f t="shared" si="17"/>
        <v>0</v>
      </c>
      <c r="P30" s="334">
        <f>IF(Stamoplysninger!$H$29="JA",Januar!DG30,CX30)</f>
        <v>0</v>
      </c>
      <c r="Q30" s="334">
        <f t="shared" si="18"/>
        <v>0</v>
      </c>
      <c r="R30" s="335"/>
      <c r="S30" s="341"/>
      <c r="T30" s="342"/>
      <c r="U30" s="342"/>
      <c r="V30" s="336"/>
      <c r="W30" s="472"/>
      <c r="X30" s="337"/>
      <c r="Y30">
        <f t="shared" si="19"/>
        <v>0</v>
      </c>
      <c r="Z30">
        <f t="shared" si="2"/>
        <v>0</v>
      </c>
      <c r="AA30" s="1">
        <f t="shared" si="3"/>
        <v>0</v>
      </c>
      <c r="AB30" s="1">
        <f t="shared" si="4"/>
        <v>0</v>
      </c>
      <c r="AC30" s="1">
        <f t="shared" si="5"/>
        <v>0</v>
      </c>
      <c r="AD30" s="1">
        <f t="shared" si="6"/>
        <v>0</v>
      </c>
      <c r="AE30" s="1">
        <f t="shared" si="7"/>
        <v>0</v>
      </c>
      <c r="AF30" s="1">
        <f>IF(C30="Orlov",7.4*Stamoplysninger!$E$15,0)</f>
        <v>0</v>
      </c>
      <c r="AG30">
        <f>IF(AND(C30="Skema 1",B30="ma"),Arbejdstidsoversigt!$E$44,"")</f>
        <v>0</v>
      </c>
      <c r="AH30" t="str">
        <f>IF(AND(C30="Skema 1",B30="ti"),Arbejdstidsoversigt!$E$45,"")</f>
        <v/>
      </c>
      <c r="AI30" t="str">
        <f>IF(AND(C30="Skema 1",B30="on"),Arbejdstidsoversigt!$E$46,"")</f>
        <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8"/>
        <v>0</v>
      </c>
      <c r="BC30" s="1">
        <f t="shared" si="21"/>
        <v>0</v>
      </c>
      <c r="BD30" s="1">
        <f t="shared" si="9"/>
        <v>0</v>
      </c>
      <c r="BE30" s="1">
        <f t="shared" si="10"/>
        <v>0</v>
      </c>
      <c r="BF30" s="1">
        <f t="shared" si="11"/>
        <v>0</v>
      </c>
      <c r="BG30" s="214">
        <f>IF(AND(C30="Skema 1",B30="ma"),Skemaoplysninger!$E$30,"")</f>
        <v>0</v>
      </c>
      <c r="BH30" s="214" t="str">
        <f>IF(AND(C30="Skema 1",B30="ti"),Skemaoplysninger!$F$30,"")</f>
        <v/>
      </c>
      <c r="BI30" s="214" t="str">
        <f>IF(AND(C30="Skema 1",B30="on"),Skemaoplysninger!$G$30,"")</f>
        <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2"/>
        <v>0</v>
      </c>
      <c r="CC30" s="1">
        <f t="shared" si="13"/>
        <v>0</v>
      </c>
      <c r="CD30" s="214">
        <f>IF(AND(C30="Skema 1",B30="ma"),Skemaoplysninger!$E$39,"")</f>
        <v>0</v>
      </c>
      <c r="CE30" s="214" t="str">
        <f>IF(AND(C30="Skema 1",B30="ti"),Skemaoplysninger!$F$39,"")</f>
        <v/>
      </c>
      <c r="CF30" s="214" t="str">
        <f>IF(AND(C30="Skema 1",B30="on"),Skemaoplysninger!$G$39,"")</f>
        <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4"/>
        <v/>
      </c>
      <c r="DL30" t="str">
        <f t="shared" si="14"/>
        <v/>
      </c>
      <c r="DM30" t="str">
        <f t="shared" si="14"/>
        <v/>
      </c>
      <c r="DN30" t="str">
        <f t="shared" si="27"/>
        <v/>
      </c>
    </row>
    <row r="31" spans="1:118">
      <c r="A31" s="249">
        <f t="shared" si="15"/>
        <v>23</v>
      </c>
      <c r="B31" s="132" t="str">
        <f t="shared" si="0"/>
        <v>ti</v>
      </c>
      <c r="C31" s="133" t="s">
        <v>209</v>
      </c>
      <c r="D31" s="134" t="str">
        <f t="shared" si="1"/>
        <v/>
      </c>
      <c r="E31" s="871"/>
      <c r="F31" s="872"/>
      <c r="G31" s="873"/>
      <c r="H31" s="313"/>
      <c r="I31" s="582"/>
      <c r="J31" s="440"/>
      <c r="K31" s="405"/>
      <c r="L31" s="405"/>
      <c r="M31" s="405"/>
      <c r="N31" s="334">
        <f t="shared" si="16"/>
        <v>0</v>
      </c>
      <c r="O31" s="334">
        <f t="shared" si="17"/>
        <v>0</v>
      </c>
      <c r="P31" s="334">
        <f>IF(Stamoplysninger!$H$29="JA",Januar!DG31,CX31)</f>
        <v>0</v>
      </c>
      <c r="Q31" s="334">
        <f t="shared" si="18"/>
        <v>0</v>
      </c>
      <c r="R31" s="335"/>
      <c r="S31" s="341"/>
      <c r="T31" s="342"/>
      <c r="U31" s="342"/>
      <c r="V31" s="336"/>
      <c r="W31" s="472"/>
      <c r="X31" s="337"/>
      <c r="Y31">
        <f t="shared" si="19"/>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1",B31="ma"),Arbejdstidsoversigt!$E$44,"")</f>
        <v/>
      </c>
      <c r="AH31">
        <f>IF(AND(C31="Skema 1",B31="ti"),Arbejdstidsoversigt!$E$45,"")</f>
        <v>0</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8"/>
        <v>0</v>
      </c>
      <c r="BC31" s="1">
        <f t="shared" si="21"/>
        <v>0</v>
      </c>
      <c r="BD31" s="1">
        <f t="shared" si="9"/>
        <v>0</v>
      </c>
      <c r="BE31" s="1">
        <f t="shared" si="10"/>
        <v>0</v>
      </c>
      <c r="BF31" s="1">
        <f t="shared" si="11"/>
        <v>0</v>
      </c>
      <c r="BG31" s="214" t="str">
        <f>IF(AND(C31="Skema 1",B31="ma"),Skemaoplysninger!$E$30,"")</f>
        <v/>
      </c>
      <c r="BH31" s="214">
        <f>IF(AND(C31="Skema 1",B31="ti"),Skemaoplysninger!$F$30,"")</f>
        <v>0</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2"/>
        <v>0</v>
      </c>
      <c r="CC31" s="1">
        <f t="shared" si="13"/>
        <v>0</v>
      </c>
      <c r="CD31" s="214" t="str">
        <f>IF(AND(C31="Skema 1",B31="ma"),Skemaoplysninger!$E$39,"")</f>
        <v/>
      </c>
      <c r="CE31" s="214">
        <f>IF(AND(C31="Skema 1",B31="ti"),Skemaoplysninger!$F$39,"")</f>
        <v>0</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4"/>
        <v/>
      </c>
      <c r="DL31" t="str">
        <f t="shared" si="14"/>
        <v/>
      </c>
      <c r="DM31" t="str">
        <f t="shared" si="14"/>
        <v/>
      </c>
      <c r="DN31" t="str">
        <f t="shared" si="27"/>
        <v/>
      </c>
    </row>
    <row r="32" spans="1:118">
      <c r="A32" s="249">
        <f t="shared" si="15"/>
        <v>24</v>
      </c>
      <c r="B32" s="132" t="str">
        <f t="shared" si="0"/>
        <v>on</v>
      </c>
      <c r="C32" s="133" t="s">
        <v>209</v>
      </c>
      <c r="D32" s="134" t="str">
        <f t="shared" si="1"/>
        <v/>
      </c>
      <c r="E32" s="868"/>
      <c r="F32" s="869"/>
      <c r="G32" s="870"/>
      <c r="H32" s="313"/>
      <c r="I32" s="582"/>
      <c r="J32" s="440"/>
      <c r="K32" s="405"/>
      <c r="L32" s="405"/>
      <c r="M32" s="405"/>
      <c r="N32" s="334">
        <f t="shared" si="16"/>
        <v>0</v>
      </c>
      <c r="O32" s="334">
        <f t="shared" si="17"/>
        <v>0</v>
      </c>
      <c r="P32" s="334">
        <f>IF(Stamoplysninger!$H$29="JA",Januar!DG32,CX32)</f>
        <v>0</v>
      </c>
      <c r="Q32" s="334">
        <f t="shared" si="18"/>
        <v>0</v>
      </c>
      <c r="R32" s="335"/>
      <c r="S32" s="341"/>
      <c r="T32" s="342"/>
      <c r="U32" s="342"/>
      <c r="V32" s="336"/>
      <c r="W32" s="472"/>
      <c r="X32" s="337"/>
      <c r="Y32">
        <f t="shared" si="19"/>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1",B32="ma"),Arbejdstidsoversigt!$E$44,"")</f>
        <v/>
      </c>
      <c r="AH32" t="str">
        <f>IF(AND(C32="Skema 1",B32="ti"),Arbejdstidsoversigt!$E$45,"")</f>
        <v/>
      </c>
      <c r="AI32">
        <f>IF(AND(C32="Skema 1",B32="on"),Arbejdstidsoversigt!$E$46,"")</f>
        <v>0</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8"/>
        <v>0</v>
      </c>
      <c r="BC32" s="1">
        <f t="shared" si="21"/>
        <v>0</v>
      </c>
      <c r="BD32" s="1">
        <f t="shared" si="9"/>
        <v>0</v>
      </c>
      <c r="BE32" s="1">
        <f t="shared" si="10"/>
        <v>0</v>
      </c>
      <c r="BF32" s="1">
        <f t="shared" si="11"/>
        <v>0</v>
      </c>
      <c r="BG32" s="214" t="str">
        <f>IF(AND(C32="Skema 1",B32="ma"),Skemaoplysninger!$E$30,"")</f>
        <v/>
      </c>
      <c r="BH32" s="214" t="str">
        <f>IF(AND(C32="Skema 1",B32="ti"),Skemaoplysninger!$F$30,"")</f>
        <v/>
      </c>
      <c r="BI32" s="214">
        <f>IF(AND(C32="Skema 1",B32="on"),Skemaoplysninger!$G$30,"")</f>
        <v>0</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2"/>
        <v>0</v>
      </c>
      <c r="CC32" s="1">
        <f t="shared" si="13"/>
        <v>0</v>
      </c>
      <c r="CD32" s="214" t="str">
        <f>IF(AND(C32="Skema 1",B32="ma"),Skemaoplysninger!$E$39,"")</f>
        <v/>
      </c>
      <c r="CE32" s="214" t="str">
        <f>IF(AND(C32="Skema 1",B32="ti"),Skemaoplysninger!$F$39,"")</f>
        <v/>
      </c>
      <c r="CF32" s="214">
        <f>IF(AND(C32="Skema 1",B32="on"),Skemaoplysninger!$G$39,"")</f>
        <v>0</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f t="shared" si="25"/>
        <v>0</v>
      </c>
      <c r="DJ32">
        <f t="shared" si="26"/>
        <v>0</v>
      </c>
      <c r="DK32" t="str">
        <f t="shared" si="14"/>
        <v/>
      </c>
      <c r="DL32" t="str">
        <f t="shared" si="14"/>
        <v/>
      </c>
      <c r="DM32" t="str">
        <f t="shared" si="14"/>
        <v/>
      </c>
      <c r="DN32" t="str">
        <f t="shared" si="27"/>
        <v/>
      </c>
    </row>
    <row r="33" spans="1:118">
      <c r="A33" s="249">
        <f t="shared" si="15"/>
        <v>25</v>
      </c>
      <c r="B33" s="132" t="str">
        <f t="shared" si="0"/>
        <v>to</v>
      </c>
      <c r="C33" s="133" t="s">
        <v>209</v>
      </c>
      <c r="D33" s="134" t="str">
        <f t="shared" si="1"/>
        <v/>
      </c>
      <c r="E33" s="871"/>
      <c r="F33" s="872"/>
      <c r="G33" s="873"/>
      <c r="H33" s="313"/>
      <c r="I33" s="582"/>
      <c r="J33" s="440"/>
      <c r="K33" s="405"/>
      <c r="L33" s="405"/>
      <c r="M33" s="405"/>
      <c r="N33" s="334">
        <f t="shared" si="16"/>
        <v>0</v>
      </c>
      <c r="O33" s="334">
        <f t="shared" si="17"/>
        <v>0</v>
      </c>
      <c r="P33" s="334">
        <f>IF(Stamoplysninger!$H$29="JA",Januar!DG33,CX33)</f>
        <v>0</v>
      </c>
      <c r="Q33" s="334">
        <f t="shared" si="18"/>
        <v>0</v>
      </c>
      <c r="R33" s="335"/>
      <c r="S33" s="341"/>
      <c r="T33" s="342"/>
      <c r="U33" s="342"/>
      <c r="V33" s="336"/>
      <c r="W33" s="472"/>
      <c r="X33" s="337"/>
      <c r="Y33">
        <f t="shared" si="19"/>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1",B33="ma"),Arbejdstidsoversigt!$E$44,"")</f>
        <v/>
      </c>
      <c r="AH33" t="str">
        <f>IF(AND(C33="Skema 1",B33="ti"),Arbejdstidsoversigt!$E$45,"")</f>
        <v/>
      </c>
      <c r="AI33" t="str">
        <f>IF(AND(C33="Skema 1",B33="on"),Arbejdstidsoversigt!$E$46,"")</f>
        <v/>
      </c>
      <c r="AJ33">
        <f>IF(AND(C33="Skema 1",B33="to"),Arbejdstidsoversigt!$E$47,"")</f>
        <v>0</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8"/>
        <v>0</v>
      </c>
      <c r="BC33" s="1">
        <f t="shared" si="21"/>
        <v>0</v>
      </c>
      <c r="BD33" s="1">
        <f t="shared" si="9"/>
        <v>0</v>
      </c>
      <c r="BE33" s="1">
        <f t="shared" si="10"/>
        <v>0</v>
      </c>
      <c r="BF33" s="1">
        <f t="shared" si="11"/>
        <v>0</v>
      </c>
      <c r="BG33" s="214" t="str">
        <f>IF(AND(C33="Skema 1",B33="ma"),Skemaoplysninger!$E$30,"")</f>
        <v/>
      </c>
      <c r="BH33" s="214" t="str">
        <f>IF(AND(C33="Skema 1",B33="ti"),Skemaoplysninger!$F$30,"")</f>
        <v/>
      </c>
      <c r="BI33" s="214" t="str">
        <f>IF(AND(C33="Skema 1",B33="on"),Skemaoplysninger!$G$30,"")</f>
        <v/>
      </c>
      <c r="BJ33" s="214">
        <f>IF(AND(C33="Skema 1",B33="to"),Skemaoplysninger!$H$30,"")</f>
        <v>0</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2"/>
        <v>0</v>
      </c>
      <c r="CC33" s="1">
        <f t="shared" si="13"/>
        <v>0</v>
      </c>
      <c r="CD33" s="214" t="str">
        <f>IF(AND(C33="Skema 1",B33="ma"),Skemaoplysninger!$E$39,"")</f>
        <v/>
      </c>
      <c r="CE33" s="214" t="str">
        <f>IF(AND(C33="Skema 1",B33="ti"),Skemaoplysninger!$F$39,"")</f>
        <v/>
      </c>
      <c r="CF33" s="214" t="str">
        <f>IF(AND(C33="Skema 1",B33="on"),Skemaoplysninger!$G$39,"")</f>
        <v/>
      </c>
      <c r="CG33" s="214">
        <f>IF(AND(C33="Skema 1",B33="to"),Skemaoplysninger!$H$39,"")</f>
        <v>0</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4"/>
        <v/>
      </c>
      <c r="DL33" t="str">
        <f t="shared" si="14"/>
        <v/>
      </c>
      <c r="DM33" t="str">
        <f t="shared" si="14"/>
        <v/>
      </c>
      <c r="DN33" t="str">
        <f t="shared" si="27"/>
        <v/>
      </c>
    </row>
    <row r="34" spans="1:118">
      <c r="A34" s="249">
        <f t="shared" si="15"/>
        <v>26</v>
      </c>
      <c r="B34" s="132" t="str">
        <f t="shared" si="0"/>
        <v>fr</v>
      </c>
      <c r="C34" s="133" t="s">
        <v>209</v>
      </c>
      <c r="D34" s="134" t="str">
        <f t="shared" si="1"/>
        <v/>
      </c>
      <c r="E34" s="871"/>
      <c r="F34" s="872"/>
      <c r="G34" s="873"/>
      <c r="H34" s="313"/>
      <c r="I34" s="582"/>
      <c r="J34" s="440"/>
      <c r="K34" s="405"/>
      <c r="L34" s="405"/>
      <c r="M34" s="405"/>
      <c r="N34" s="334">
        <f t="shared" si="16"/>
        <v>0</v>
      </c>
      <c r="O34" s="334">
        <f t="shared" si="17"/>
        <v>0</v>
      </c>
      <c r="P34" s="334">
        <f>IF(Stamoplysninger!$H$29="JA",Januar!DG34,CX34)</f>
        <v>0</v>
      </c>
      <c r="Q34" s="334">
        <f t="shared" si="18"/>
        <v>0</v>
      </c>
      <c r="R34" s="335"/>
      <c r="S34" s="341"/>
      <c r="T34" s="342"/>
      <c r="U34" s="342"/>
      <c r="V34" s="336"/>
      <c r="W34" s="472"/>
      <c r="X34" s="337"/>
      <c r="Y34">
        <f t="shared" si="19"/>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1",B34="ma"),Arbejdstidsoversigt!$E$44,"")</f>
        <v/>
      </c>
      <c r="AH34" t="str">
        <f>IF(AND(C34="Skema 1",B34="ti"),Arbejdstidsoversigt!$E$45,"")</f>
        <v/>
      </c>
      <c r="AI34" t="str">
        <f>IF(AND(C34="Skema 1",B34="on"),Arbejdstidsoversigt!$E$46,"")</f>
        <v/>
      </c>
      <c r="AJ34" t="str">
        <f>IF(AND(C34="Skema 1",B34="to"),Arbejdstidsoversigt!$E$47,"")</f>
        <v/>
      </c>
      <c r="AK34">
        <f>IF(AND(C34="Skema 1",B34="fr"),Arbejdstidsoversigt!$E$48,"")</f>
        <v>0</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8"/>
        <v>0</v>
      </c>
      <c r="BC34" s="1">
        <f t="shared" si="21"/>
        <v>0</v>
      </c>
      <c r="BD34" s="1">
        <f t="shared" si="9"/>
        <v>0</v>
      </c>
      <c r="BE34" s="1">
        <f t="shared" si="10"/>
        <v>0</v>
      </c>
      <c r="BF34" s="1">
        <f t="shared" si="11"/>
        <v>0</v>
      </c>
      <c r="BG34" s="214" t="str">
        <f>IF(AND(C34="Skema 1",B34="ma"),Skemaoplysninger!$E$30,"")</f>
        <v/>
      </c>
      <c r="BH34" s="214" t="str">
        <f>IF(AND(C34="Skema 1",B34="ti"),Skemaoplysninger!$F$30,"")</f>
        <v/>
      </c>
      <c r="BI34" s="214" t="str">
        <f>IF(AND(C34="Skema 1",B34="on"),Skemaoplysninger!$G$30,"")</f>
        <v/>
      </c>
      <c r="BJ34" s="214" t="str">
        <f>IF(AND(C34="Skema 1",B34="to"),Skemaoplysninger!$H$30,"")</f>
        <v/>
      </c>
      <c r="BK34" s="214">
        <f>IF(AND(C34="Skema 1",B34="fr"),Skemaoplysninger!$I$30,"")</f>
        <v>0</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2"/>
        <v>0</v>
      </c>
      <c r="CC34" s="1">
        <f t="shared" si="13"/>
        <v>0</v>
      </c>
      <c r="CD34" s="214" t="str">
        <f>IF(AND(C34="Skema 1",B34="ma"),Skemaoplysninger!$E$39,"")</f>
        <v/>
      </c>
      <c r="CE34" s="214" t="str">
        <f>IF(AND(C34="Skema 1",B34="ti"),Skemaoplysninger!$F$39,"")</f>
        <v/>
      </c>
      <c r="CF34" s="214" t="str">
        <f>IF(AND(C34="Skema 1",B34="on"),Skemaoplysninger!$G$39,"")</f>
        <v/>
      </c>
      <c r="CG34" s="214" t="str">
        <f>IF(AND(C34="Skema 1",B34="to"),Skemaoplysninger!$H$39,"")</f>
        <v/>
      </c>
      <c r="CH34" s="214">
        <f>IF(AND(C34="Skema 1",B34="fr"),Skemaoplysninger!$I$39,"")</f>
        <v>0</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4"/>
        <v/>
      </c>
      <c r="DL34" t="str">
        <f t="shared" si="14"/>
        <v/>
      </c>
      <c r="DM34" t="str">
        <f t="shared" si="14"/>
        <v/>
      </c>
      <c r="DN34" t="str">
        <f t="shared" si="27"/>
        <v/>
      </c>
    </row>
    <row r="35" spans="1:118">
      <c r="A35" s="249">
        <f t="shared" si="15"/>
        <v>27</v>
      </c>
      <c r="B35" s="132" t="str">
        <f t="shared" si="0"/>
        <v>lø</v>
      </c>
      <c r="C35" s="133" t="s">
        <v>121</v>
      </c>
      <c r="D35" s="134" t="str">
        <f t="shared" si="1"/>
        <v/>
      </c>
      <c r="E35" s="871"/>
      <c r="F35" s="872"/>
      <c r="G35" s="873"/>
      <c r="H35" s="313"/>
      <c r="I35" s="440"/>
      <c r="J35" s="440"/>
      <c r="K35" s="405"/>
      <c r="L35" s="405"/>
      <c r="M35" s="405"/>
      <c r="N35" s="334">
        <f t="shared" si="16"/>
        <v>0</v>
      </c>
      <c r="O35" s="334">
        <f t="shared" si="17"/>
        <v>0</v>
      </c>
      <c r="P35" s="334">
        <f>IF(Stamoplysninger!$H$29="JA",Januar!DG35,CX35)</f>
        <v>0</v>
      </c>
      <c r="Q35" s="334">
        <f t="shared" si="18"/>
        <v>0</v>
      </c>
      <c r="R35" s="335"/>
      <c r="S35" s="341"/>
      <c r="T35" s="342"/>
      <c r="U35" s="342"/>
      <c r="V35" s="336"/>
      <c r="W35" s="472"/>
      <c r="X35" s="337"/>
      <c r="Y35">
        <f t="shared" si="19"/>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1",B35="ma"),Arbejdstidsoversigt!$E$44,"")</f>
        <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0</v>
      </c>
      <c r="BB35" s="233">
        <f t="shared" si="8"/>
        <v>0</v>
      </c>
      <c r="BC35" s="1">
        <f t="shared" si="21"/>
        <v>0</v>
      </c>
      <c r="BD35" s="1">
        <f t="shared" si="9"/>
        <v>0</v>
      </c>
      <c r="BE35" s="1">
        <f t="shared" si="10"/>
        <v>0</v>
      </c>
      <c r="BF35" s="1">
        <f t="shared" si="11"/>
        <v>0</v>
      </c>
      <c r="BG35" s="214" t="str">
        <f>IF(AND(C35="Skema 1",B35="ma"),Skemaoplysninger!$E$30,"")</f>
        <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2"/>
        <v>0</v>
      </c>
      <c r="CC35" s="1">
        <f t="shared" si="13"/>
        <v>0</v>
      </c>
      <c r="CD35" s="214" t="str">
        <f>IF(AND(C35="Skema 1",B35="ma"),Skemaoplysninger!$E$39,"")</f>
        <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4"/>
        <v/>
      </c>
      <c r="DL35" t="str">
        <f t="shared" si="14"/>
        <v/>
      </c>
      <c r="DM35" t="str">
        <f t="shared" si="14"/>
        <v/>
      </c>
      <c r="DN35" t="str">
        <f t="shared" si="27"/>
        <v/>
      </c>
    </row>
    <row r="36" spans="1:118">
      <c r="A36" s="249">
        <f t="shared" si="15"/>
        <v>28</v>
      </c>
      <c r="B36" s="132" t="str">
        <f t="shared" si="0"/>
        <v>sø</v>
      </c>
      <c r="C36" s="133" t="s">
        <v>121</v>
      </c>
      <c r="D36" s="134" t="str">
        <f t="shared" si="1"/>
        <v/>
      </c>
      <c r="E36" s="871"/>
      <c r="F36" s="872"/>
      <c r="G36" s="873"/>
      <c r="H36" s="313"/>
      <c r="I36" s="440"/>
      <c r="J36" s="440"/>
      <c r="K36" s="405"/>
      <c r="L36" s="405"/>
      <c r="M36" s="405"/>
      <c r="N36" s="334">
        <f t="shared" si="16"/>
        <v>0</v>
      </c>
      <c r="O36" s="334">
        <f t="shared" si="17"/>
        <v>0</v>
      </c>
      <c r="P36" s="334">
        <f>IF(Stamoplysninger!$H$29="JA",Januar!DG36,CX36)</f>
        <v>0</v>
      </c>
      <c r="Q36" s="334">
        <f t="shared" si="18"/>
        <v>0</v>
      </c>
      <c r="R36" s="335"/>
      <c r="S36" s="341"/>
      <c r="T36" s="342"/>
      <c r="U36" s="342"/>
      <c r="V36" s="336"/>
      <c r="W36" s="472"/>
      <c r="X36" s="337"/>
      <c r="Y36">
        <f t="shared" si="19"/>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1",B36="ma"),Arbejdstidsoversigt!$E$44,"")</f>
        <v/>
      </c>
      <c r="AH36" t="str">
        <f>IF(AND(C36="Skema 1",B36="ti"),Arbejdstidsoversigt!$E$45,"")</f>
        <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8"/>
        <v>0</v>
      </c>
      <c r="BC36" s="1">
        <f t="shared" si="21"/>
        <v>0</v>
      </c>
      <c r="BD36" s="1">
        <f t="shared" si="9"/>
        <v>0</v>
      </c>
      <c r="BE36" s="1">
        <f t="shared" si="10"/>
        <v>0</v>
      </c>
      <c r="BF36" s="1">
        <f t="shared" si="11"/>
        <v>0</v>
      </c>
      <c r="BG36" s="214" t="str">
        <f>IF(AND(C36="Skema 1",B36="ma"),Skemaoplysninger!$E$30,"")</f>
        <v/>
      </c>
      <c r="BH36" s="214" t="str">
        <f>IF(AND(C36="Skema 1",B36="ti"),Skemaoplysninger!$F$30,"")</f>
        <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2"/>
        <v>0</v>
      </c>
      <c r="CC36" s="1">
        <f t="shared" si="13"/>
        <v>0</v>
      </c>
      <c r="CD36" s="214" t="str">
        <f>IF(AND(C36="Skema 1",B36="ma"),Skemaoplysninger!$E$39,"")</f>
        <v/>
      </c>
      <c r="CE36" s="214" t="str">
        <f>IF(AND(C36="Skema 1",B36="ti"),Skemaoplysninger!$F$39,"")</f>
        <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4"/>
        <v/>
      </c>
      <c r="DL36" t="str">
        <f t="shared" si="14"/>
        <v/>
      </c>
      <c r="DM36" t="str">
        <f t="shared" si="14"/>
        <v/>
      </c>
      <c r="DN36" t="str">
        <f t="shared" si="27"/>
        <v/>
      </c>
    </row>
    <row r="37" spans="1:118">
      <c r="A37" s="249">
        <f>IF(ISNUMBER(A36),A36+1,1)</f>
        <v>29</v>
      </c>
      <c r="B37" s="132" t="str">
        <f t="shared" si="0"/>
        <v>ma</v>
      </c>
      <c r="C37" s="133" t="s">
        <v>209</v>
      </c>
      <c r="D37" s="134">
        <f t="shared" si="1"/>
        <v>5</v>
      </c>
      <c r="E37" s="871"/>
      <c r="F37" s="872"/>
      <c r="G37" s="873"/>
      <c r="H37" s="313"/>
      <c r="I37" s="582"/>
      <c r="J37" s="440"/>
      <c r="K37" s="405"/>
      <c r="L37" s="405"/>
      <c r="M37" s="405"/>
      <c r="N37" s="334">
        <f t="shared" si="16"/>
        <v>0</v>
      </c>
      <c r="O37" s="334">
        <f t="shared" si="17"/>
        <v>0</v>
      </c>
      <c r="P37" s="334">
        <f>IF(Stamoplysninger!$H$29="JA",Januar!DG37,CX37)</f>
        <v>0</v>
      </c>
      <c r="Q37" s="334">
        <f t="shared" si="18"/>
        <v>0</v>
      </c>
      <c r="R37" s="335"/>
      <c r="S37" s="341"/>
      <c r="T37" s="342"/>
      <c r="U37" s="342"/>
      <c r="V37" s="336"/>
      <c r="W37" s="472"/>
      <c r="X37" s="337"/>
      <c r="Y37">
        <f t="shared" si="19"/>
        <v>0</v>
      </c>
      <c r="Z37">
        <f t="shared" si="2"/>
        <v>0</v>
      </c>
      <c r="AA37" s="1">
        <f t="shared" si="3"/>
        <v>0</v>
      </c>
      <c r="AB37" s="1">
        <f t="shared" si="4"/>
        <v>0</v>
      </c>
      <c r="AC37" s="1">
        <f t="shared" si="5"/>
        <v>0</v>
      </c>
      <c r="AD37" s="1">
        <f t="shared" si="6"/>
        <v>0</v>
      </c>
      <c r="AE37" s="1">
        <f t="shared" si="7"/>
        <v>0</v>
      </c>
      <c r="AF37" s="1">
        <f>IF(C37="Orlov",7.4*Stamoplysninger!$E$15,0)</f>
        <v>0</v>
      </c>
      <c r="AG37">
        <f>IF(AND(C37="Skema 1",B37="ma"),Arbejdstidsoversigt!$E$44,"")</f>
        <v>0</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0</v>
      </c>
      <c r="BB37" s="233">
        <f t="shared" si="8"/>
        <v>0</v>
      </c>
      <c r="BC37" s="1">
        <f t="shared" si="21"/>
        <v>0</v>
      </c>
      <c r="BD37" s="1">
        <f t="shared" si="9"/>
        <v>0</v>
      </c>
      <c r="BE37" s="1">
        <f t="shared" si="10"/>
        <v>0</v>
      </c>
      <c r="BF37" s="1">
        <f t="shared" si="11"/>
        <v>0</v>
      </c>
      <c r="BG37" s="214">
        <f>IF(AND(C37="Skema 1",B37="ma"),Skemaoplysninger!$E$30,"")</f>
        <v>0</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2"/>
        <v>0</v>
      </c>
      <c r="CC37" s="1">
        <f t="shared" si="13"/>
        <v>0</v>
      </c>
      <c r="CD37" s="214">
        <f>IF(AND(C37="Skema 1",B37="ma"),Skemaoplysninger!$E$39,"")</f>
        <v>0</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4"/>
        <v/>
      </c>
      <c r="DL37" t="str">
        <f t="shared" si="14"/>
        <v/>
      </c>
      <c r="DM37" t="str">
        <f t="shared" si="14"/>
        <v/>
      </c>
      <c r="DN37" t="str">
        <f t="shared" si="27"/>
        <v/>
      </c>
    </row>
    <row r="38" spans="1:118">
      <c r="A38" s="249">
        <f t="shared" si="15"/>
        <v>30</v>
      </c>
      <c r="B38" s="132" t="str">
        <f t="shared" si="0"/>
        <v>ti</v>
      </c>
      <c r="C38" s="133" t="s">
        <v>209</v>
      </c>
      <c r="D38" s="134" t="str">
        <f t="shared" si="1"/>
        <v/>
      </c>
      <c r="E38" s="871"/>
      <c r="F38" s="872"/>
      <c r="G38" s="873"/>
      <c r="H38" s="313"/>
      <c r="I38" s="582"/>
      <c r="J38" s="440"/>
      <c r="K38" s="405"/>
      <c r="L38" s="405"/>
      <c r="M38" s="405"/>
      <c r="N38" s="334">
        <f t="shared" si="16"/>
        <v>0</v>
      </c>
      <c r="O38" s="334">
        <f t="shared" si="17"/>
        <v>0</v>
      </c>
      <c r="P38" s="334">
        <f>IF(Stamoplysninger!$H$29="JA",Januar!DG38,CX38)</f>
        <v>0</v>
      </c>
      <c r="Q38" s="334">
        <f t="shared" si="18"/>
        <v>0</v>
      </c>
      <c r="R38" s="335"/>
      <c r="S38" s="341"/>
      <c r="T38" s="342"/>
      <c r="U38" s="471"/>
      <c r="V38" s="336"/>
      <c r="W38" s="472"/>
      <c r="X38" s="337"/>
      <c r="Y38">
        <f t="shared" si="19"/>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1",B38="ma"),Arbejdstidsoversigt!$E$44,"")</f>
        <v/>
      </c>
      <c r="AH38">
        <f>IF(AND(C38="Skema 1",B38="ti"),Arbejdstidsoversigt!$E$45,"")</f>
        <v>0</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0</v>
      </c>
      <c r="BB38" s="233">
        <f t="shared" si="8"/>
        <v>0</v>
      </c>
      <c r="BC38" s="1">
        <f t="shared" si="21"/>
        <v>0</v>
      </c>
      <c r="BD38" s="1">
        <f t="shared" si="9"/>
        <v>0</v>
      </c>
      <c r="BE38" s="1">
        <f t="shared" si="10"/>
        <v>0</v>
      </c>
      <c r="BF38" s="1">
        <f t="shared" si="11"/>
        <v>0</v>
      </c>
      <c r="BG38" s="214" t="str">
        <f>IF(AND(C38="Skema 1",B38="ma"),Skemaoplysninger!$E$30,"")</f>
        <v/>
      </c>
      <c r="BH38" s="214">
        <f>IF(AND(C38="Skema 1",B38="ti"),Skemaoplysninger!$F$30,"")</f>
        <v>0</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3",B38="ti"),Skemaoplysninger!$Z$30,"")</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2"/>
        <v>0</v>
      </c>
      <c r="CC38" s="1">
        <f t="shared" si="13"/>
        <v>0</v>
      </c>
      <c r="CD38" s="214" t="str">
        <f>IF(AND(C38="Skema 1",B38="ma"),Skemaoplysninger!$E$39,"")</f>
        <v/>
      </c>
      <c r="CE38" s="214">
        <f>IF(AND(C38="Skema 1",B38="ti"),Skemaoplysninger!$F$39,"")</f>
        <v>0</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4"/>
        <v/>
      </c>
      <c r="DL38" t="str">
        <f t="shared" si="14"/>
        <v/>
      </c>
      <c r="DM38" t="str">
        <f t="shared" si="14"/>
        <v/>
      </c>
      <c r="DN38" t="str">
        <f t="shared" si="27"/>
        <v/>
      </c>
    </row>
    <row r="39" spans="1:118">
      <c r="A39" s="249">
        <f>IF(ISNUMBER(A38),A38+1,1)</f>
        <v>31</v>
      </c>
      <c r="B39" s="132" t="str">
        <f t="shared" si="0"/>
        <v>on</v>
      </c>
      <c r="C39" s="133" t="s">
        <v>209</v>
      </c>
      <c r="D39" s="134" t="str">
        <f t="shared" si="1"/>
        <v/>
      </c>
      <c r="E39" s="868"/>
      <c r="F39" s="869"/>
      <c r="G39" s="870"/>
      <c r="H39" s="312"/>
      <c r="I39" s="582"/>
      <c r="J39" s="440"/>
      <c r="K39" s="405"/>
      <c r="L39" s="405"/>
      <c r="M39" s="405"/>
      <c r="N39" s="334">
        <f t="shared" si="16"/>
        <v>0</v>
      </c>
      <c r="O39" s="334">
        <f t="shared" si="17"/>
        <v>0</v>
      </c>
      <c r="P39" s="334">
        <f>IF(Stamoplysninger!$H$29="JA",Januar!DG39,CX39)</f>
        <v>0</v>
      </c>
      <c r="Q39" s="334">
        <f t="shared" si="18"/>
        <v>0</v>
      </c>
      <c r="R39" s="335"/>
      <c r="S39" s="341"/>
      <c r="T39" s="342"/>
      <c r="U39" s="218"/>
      <c r="V39" s="336"/>
      <c r="W39" s="472"/>
      <c r="X39" s="473"/>
      <c r="Y39">
        <f t="shared" si="19"/>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1",B39="ma"),Arbejdstidsoversigt!$E$44,"")</f>
        <v/>
      </c>
      <c r="AH39" t="str">
        <f>IF(AND(C39="Skema 1",B39="ti"),Arbejdstidsoversigt!$E$45,"")</f>
        <v/>
      </c>
      <c r="AI39">
        <f>IF(AND(C39="Skema 1",B39="on"),Arbejdstidsoversigt!$E$46,"")</f>
        <v>0</v>
      </c>
      <c r="AJ39" t="str">
        <f>IF(AND(C39="Skema 1",B39="to"),Arbejdstidsoversigt!$E$47,"")</f>
        <v/>
      </c>
      <c r="AK39" t="str">
        <f>IF(AND(C39="Skema 1",B39="fr"),Arbejdstidsoversigt!$E$48,"")</f>
        <v/>
      </c>
      <c r="AL39" t="str">
        <f>IF(AND(C39="Skema 2",B39="ma"),Arbejdstidsoversigt!$E$53,"")</f>
        <v/>
      </c>
      <c r="AM39" t="str">
        <f>IF(AND(C39="Skema 2",B39="ti"),Arbejdstidsoversigt!$E$54,"")</f>
        <v/>
      </c>
      <c r="AN39" t="str">
        <f>IF(AND(C39="Skema 2",B39="on"),Arbejdstidsoversigt!$E$55,"")</f>
        <v/>
      </c>
      <c r="AO39" t="str">
        <f>IF(AND(C39="Skema 2",B39="to"),Arbejdstidsoversigt!$E$56,"")</f>
        <v/>
      </c>
      <c r="AP39" t="str">
        <f>IF(AND(C39="Skema 2",B39="fr"),Arbejdstidsoversigt!$E$57,"")</f>
        <v/>
      </c>
      <c r="AQ39" t="str">
        <f>IF(AND(C39="Skema 3",B39="ma"),Arbejdstidsoversigt!$E$62,"")</f>
        <v/>
      </c>
      <c r="AR39" t="str">
        <f>IF(AND(C39="Skema 3",B39="ti"),Arbejdstidsoversigt!$E$63,"")</f>
        <v/>
      </c>
      <c r="AS39" t="str">
        <f>IF(AND(C39="Skema 3",B39="on"),Arbejdstidsoversigt!$E$64,"")</f>
        <v/>
      </c>
      <c r="AT39" t="str">
        <f>IF(AND(C39="Skema 3",B39="to"),Arbejdstidsoversigt!$E$65,"")</f>
        <v/>
      </c>
      <c r="AU39" t="str">
        <f>IF(AND(C39="Skema 3",B39="fr"),Arbejdstidsoversigt!$E$66,"")</f>
        <v/>
      </c>
      <c r="AV39" t="str">
        <f>IF(AND(C39="Skema 4",B39="ma"),Arbejdstidsoversigt!$E$71,"")</f>
        <v/>
      </c>
      <c r="AW39" t="str">
        <f>IF(AND(C39="Skema 4",B39="ti"),Arbejdstidsoversigt!$E$72,"")</f>
        <v/>
      </c>
      <c r="AX39" t="str">
        <f>IF(AND(C39="Skema 4",B39="on"),Arbejdstidsoversigt!$E$73,"")</f>
        <v/>
      </c>
      <c r="AY39" t="str">
        <f>IF(AND(C39="Skema 4",B39="to"),Arbejdstidsoversigt!$E$74,"")</f>
        <v/>
      </c>
      <c r="AZ39" t="str">
        <f>IF(AND(C39="Skema 4",B39="fr"),Arbejdstidsoversigt!$E$75,"")</f>
        <v/>
      </c>
      <c r="BA39" s="1">
        <f t="shared" si="20"/>
        <v>0</v>
      </c>
      <c r="BB39" s="233">
        <f t="shared" si="8"/>
        <v>0</v>
      </c>
      <c r="BC39" s="1">
        <f t="shared" si="21"/>
        <v>0</v>
      </c>
      <c r="BD39" s="1">
        <f t="shared" si="9"/>
        <v>0</v>
      </c>
      <c r="BE39" s="1">
        <f t="shared" si="10"/>
        <v>0</v>
      </c>
      <c r="BF39" s="1">
        <f t="shared" si="11"/>
        <v>0</v>
      </c>
      <c r="BG39" s="214" t="str">
        <f>IF(AND(C39="Skema 1",B39="ma"),Skemaoplysninger!$E$30,"")</f>
        <v/>
      </c>
      <c r="BH39" s="214" t="str">
        <f>IF(AND(C39="Skema 1",B39="ti"),Skemaoplysninger!$F$30,"")</f>
        <v/>
      </c>
      <c r="BI39" s="214">
        <f>IF(AND(C39="Skema 1",B39="on"),Skemaoplysninger!$G$30,"")</f>
        <v>0</v>
      </c>
      <c r="BJ39" s="214" t="str">
        <f>IF(AND(C39="Skema 1",B39="to"),Skemaoplysninger!$H$30,"")</f>
        <v/>
      </c>
      <c r="BK39" s="214" t="str">
        <f>IF(AND(C39="Skema 1",B39="fr"),Skemaoplysninger!$I$30,"")</f>
        <v/>
      </c>
      <c r="BL39" s="214" t="str">
        <f>IF(AND(C39="Skema 2",B39="ma"),Skemaoplysninger!$O$30,"")</f>
        <v/>
      </c>
      <c r="BM39" s="214" t="str">
        <f>IF(AND(C39="Skema 2",B39="ti"),Skemaoplysninger!$P$30,"")</f>
        <v/>
      </c>
      <c r="BN39" s="214" t="str">
        <f>IF(AND(C39="Skema 2",B39="on"),Skemaoplysninger!$Q$30,"")</f>
        <v/>
      </c>
      <c r="BO39" s="214" t="str">
        <f>IF(AND(C39="Skema 2",B39="to"),Skemaoplysninger!$R$30,"")</f>
        <v/>
      </c>
      <c r="BP39" s="214" t="str">
        <f>IF(AND(C39="Skema 2",B39="fr"),Skemaoplysninger!$S$30,"")</f>
        <v/>
      </c>
      <c r="BQ39" s="214" t="str">
        <f>IF(AND(C39="Skema 3",B39="ma"),Skemaoplysninger!$Y$30,"")</f>
        <v/>
      </c>
      <c r="BR39" s="214" t="str">
        <f>IF(AND(C39="Skema 3",B39="ti"),Skemaoplysninger!$Z$30,"")</f>
        <v/>
      </c>
      <c r="BS39" s="214" t="str">
        <f>IF(AND(C39="Skema 3",B39="on"),Skemaoplysninger!$AA$30,"")</f>
        <v/>
      </c>
      <c r="BT39" s="214" t="str">
        <f>IF(AND(C39="Skema 3",B39="to"),Skemaoplysninger!$AB$30,"")</f>
        <v/>
      </c>
      <c r="BU39" s="214" t="str">
        <f>IF(AND(C39="Skema 3",B39="fr"),Skemaoplysninger!$AC$30,"")</f>
        <v/>
      </c>
      <c r="BV39" s="214" t="str">
        <f>IF(AND(C39="Skema 4",B39="ma"),Skemaoplysninger!$AI$30,"")</f>
        <v/>
      </c>
      <c r="BW39" s="214" t="str">
        <f>IF(AND(C39="Skema 4",B39="ti"),Skemaoplysninger!$AJ$30,"")</f>
        <v/>
      </c>
      <c r="BX39" s="214" t="str">
        <f>IF(AND(C39="Skema 4",B39="on"),Skemaoplysninger!$AK$30,"")</f>
        <v/>
      </c>
      <c r="BY39" s="214" t="str">
        <f>IF(AND(C39="Skema 4",B39="to"),Skemaoplysninger!$AL$30,"")</f>
        <v/>
      </c>
      <c r="BZ39" s="214" t="str">
        <f>IF(AND(C39="Skema 4",B39="fr"),Skemaoplysninger!$AM$30,"")</f>
        <v/>
      </c>
      <c r="CA39" s="1">
        <f t="shared" si="22"/>
        <v>0</v>
      </c>
      <c r="CB39" s="1">
        <f t="shared" si="12"/>
        <v>0</v>
      </c>
      <c r="CC39" s="1">
        <f t="shared" si="13"/>
        <v>0</v>
      </c>
      <c r="CD39" s="214" t="str">
        <f>IF(AND(C39="Skema 1",B39="ma"),Skemaoplysninger!$E$39,"")</f>
        <v/>
      </c>
      <c r="CE39" s="214" t="str">
        <f>IF(AND(C39="Skema 1",B39="ti"),Skemaoplysninger!$F$39,"")</f>
        <v/>
      </c>
      <c r="CF39" s="214">
        <f>IF(AND(C39="Skema 1",B39="on"),Skemaoplysninger!$G$39,"")</f>
        <v>0</v>
      </c>
      <c r="CG39" s="214" t="str">
        <f>IF(AND(C39="Skema 1",B39="to"),Skemaoplysninger!$H$39,"")</f>
        <v/>
      </c>
      <c r="CH39" s="214" t="str">
        <f>IF(AND(C39="Skema 1",B39="fr"),Skemaoplysninger!$I$39,"")</f>
        <v/>
      </c>
      <c r="CI39" s="214" t="str">
        <f>IF(AND(C39="Skema 2",B39="ma"),Skemaoplysninger!$O$39,"")</f>
        <v/>
      </c>
      <c r="CJ39" s="214" t="str">
        <f>IF(AND(C39="Skema 2",B39="ti"),Skemaoplysninger!$P$39,"")</f>
        <v/>
      </c>
      <c r="CK39" s="214" t="str">
        <f>IF(AND(C39="Skema 2",B39="on"),Skemaoplysninger!$Q$39,"")</f>
        <v/>
      </c>
      <c r="CL39" s="214" t="str">
        <f>IF(AND(C39="Skema 2",B39="to"),Skemaoplysninger!$R$39,"")</f>
        <v/>
      </c>
      <c r="CM39" s="214" t="str">
        <f>IF(AND(C39="Skema 2",B39="fr"),Skemaoplysninger!$S$39,"")</f>
        <v/>
      </c>
      <c r="CN39" s="214" t="str">
        <f>IF(AND(C39="Skema 3",B39="ma"),Skemaoplysninger!$Y$39,"")</f>
        <v/>
      </c>
      <c r="CO39" s="214" t="str">
        <f>IF(AND(C39="Skema 3",B39="ti"),Skemaoplysninger!$Z$39,"")</f>
        <v/>
      </c>
      <c r="CP39" s="214" t="str">
        <f>IF(AND(C39="Skema 3",B39="on"),Skemaoplysninger!$AA$39,"")</f>
        <v/>
      </c>
      <c r="CQ39" s="214" t="str">
        <f>IF(AND(C39="Skema 3",B39="to"),Skemaoplysninger!$AB$39,"")</f>
        <v/>
      </c>
      <c r="CR39" s="214" t="str">
        <f>IF(AND(C39="Skema 3",B39="fr"),Skemaoplysninger!$AC$39,"")</f>
        <v/>
      </c>
      <c r="CS39" s="214" t="str">
        <f>IF(AND(C39="Skema 4",B39="ma"),Skemaoplysninger!$AI$39,"")</f>
        <v/>
      </c>
      <c r="CT39" s="214" t="str">
        <f>IF(AND(C39="Skema 4",B39="ti"),Skemaoplysninger!$AJ$39,"")</f>
        <v/>
      </c>
      <c r="CU39" s="214" t="str">
        <f>IF(AND(C39="Skema 4",B39="on"),Skemaoplysninger!$AK$39,"")</f>
        <v/>
      </c>
      <c r="CV39" s="214" t="str">
        <f>IF(AND(C39="Skema 4",B39="to"),Skemaoplysninger!$AL$39,"")</f>
        <v/>
      </c>
      <c r="CW39" s="214" t="str">
        <f>IF(AND(C39="Skema 4",B39="fr"),Skemaoplysninger!$AM$39,"")</f>
        <v/>
      </c>
      <c r="CX39" s="254">
        <f>IF(Stamoplysninger!$H$29="NEJ",SUM(CB39:CW39),0)</f>
        <v>0</v>
      </c>
      <c r="CY39" s="254">
        <f>IF(C39="Skema 1",Stamoplysninger!$H$30/200,0)</f>
        <v>0</v>
      </c>
      <c r="CZ39" s="254">
        <f>IF(C39="Skema 2",Stamoplysninger!$H$30/200,0)</f>
        <v>0</v>
      </c>
      <c r="DA39" s="254">
        <f>IF(C39="Skema 3",Stamoplysninger!$H$30/200,0)</f>
        <v>0</v>
      </c>
      <c r="DB39" s="254">
        <f>IF(C39="Skema 4",Stamoplysninger!$H$30/200,0)</f>
        <v>0</v>
      </c>
      <c r="DC39" s="254">
        <f>IF(C39="fagdag",Stamoplysninger!$H$30/200,0)</f>
        <v>0</v>
      </c>
      <c r="DD39" s="254">
        <f>IF(C39="emnedag",Stamoplysninger!$H$30/200,0)</f>
        <v>0</v>
      </c>
      <c r="DE39" s="254">
        <f>IF(C39="lejrskole",Stamoplysninger!$H$30/200,0)</f>
        <v>0</v>
      </c>
      <c r="DF39" s="254">
        <f>IF(C39="ekskursion",Stamoplysninger!$H$30/200,0)</f>
        <v>0</v>
      </c>
      <c r="DG39" s="254">
        <f t="shared" si="23"/>
        <v>0</v>
      </c>
      <c r="DH39" t="str">
        <f t="shared" si="24"/>
        <v/>
      </c>
      <c r="DI39">
        <f t="shared" si="25"/>
        <v>0</v>
      </c>
      <c r="DJ39">
        <f t="shared" si="26"/>
        <v>0</v>
      </c>
      <c r="DK39" t="str">
        <f t="shared" ref="DK39:DM39" si="28">IF(DH39=0,"",DH39)</f>
        <v/>
      </c>
      <c r="DL39" t="str">
        <f t="shared" si="28"/>
        <v/>
      </c>
      <c r="DM39" t="str">
        <f t="shared" si="28"/>
        <v/>
      </c>
      <c r="DN39" t="str">
        <f t="shared" si="27"/>
        <v/>
      </c>
    </row>
    <row r="40" spans="1:118" ht="17" thickBot="1">
      <c r="A40" s="889" t="s">
        <v>263</v>
      </c>
      <c r="B40" s="890"/>
      <c r="C40" s="890"/>
      <c r="D40" s="890"/>
      <c r="E40" s="890"/>
      <c r="F40" s="890"/>
      <c r="G40" s="890"/>
      <c r="H40" s="890"/>
      <c r="I40" s="891"/>
      <c r="J40" s="329"/>
      <c r="K40" s="338"/>
      <c r="L40" s="338"/>
      <c r="M40" s="338"/>
      <c r="N40" s="339">
        <f t="shared" ref="N40:Q40" si="29">SUM(N9:N39)</f>
        <v>0</v>
      </c>
      <c r="O40" s="339">
        <f t="shared" si="29"/>
        <v>0</v>
      </c>
      <c r="P40" s="339">
        <f t="shared" si="29"/>
        <v>0</v>
      </c>
      <c r="Q40" s="339">
        <f t="shared" si="29"/>
        <v>0</v>
      </c>
      <c r="R40" s="340">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59"/>
      <c r="T40" s="460"/>
      <c r="U40" s="460"/>
      <c r="V40" s="460">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60">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61">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5">
        <f>SUM(Y9:Y39)</f>
        <v>0</v>
      </c>
      <c r="Z40" s="425">
        <f>Z9+Z10+Z11+Z12+Z13+Z14+Z15+Z16+Z17+Z18+Z19+Z20+Z21+Z22+Z23+Z24+Z25+Z26+Z27+Z28+Z29+Z30+Z31+Z32+Z33+Z34+Z35+Z36+Z37+Z38+Z39</f>
        <v>0</v>
      </c>
      <c r="AA40" s="239">
        <f t="shared" ref="AA40:AF40" si="30">SUM(AA9:AA39)</f>
        <v>0</v>
      </c>
      <c r="AB40" s="239">
        <f t="shared" si="30"/>
        <v>0</v>
      </c>
      <c r="AC40" s="239">
        <f t="shared" si="30"/>
        <v>0</v>
      </c>
      <c r="AD40" s="239">
        <f t="shared" si="30"/>
        <v>0</v>
      </c>
      <c r="AE40" s="239">
        <f t="shared" si="30"/>
        <v>0</v>
      </c>
      <c r="AF40" s="239">
        <f t="shared" si="30"/>
        <v>0</v>
      </c>
      <c r="BA40" s="1">
        <f>SUM(BA9:BA39)</f>
        <v>0</v>
      </c>
      <c r="BB40" s="116"/>
      <c r="BC40" s="239">
        <f>SUM(BC9:BC39)</f>
        <v>0</v>
      </c>
      <c r="BD40" s="239">
        <f>SUM(BD9:BD39)</f>
        <v>0</v>
      </c>
      <c r="BE40" s="239">
        <f t="shared" ref="BE40:BF40" si="31">SUM(BE9:BE39)</f>
        <v>0</v>
      </c>
      <c r="BF40" s="239">
        <f t="shared" si="31"/>
        <v>0</v>
      </c>
      <c r="CA40" s="239">
        <f>SUM(CA9:CA39)</f>
        <v>0</v>
      </c>
      <c r="CB40" s="239">
        <f t="shared" ref="CB40:CC40" si="32">SUM(CB9:CB39)</f>
        <v>0</v>
      </c>
      <c r="CC40" s="239">
        <f t="shared" si="32"/>
        <v>0</v>
      </c>
      <c r="CX40" s="254"/>
      <c r="CY40" s="254">
        <f t="shared" ref="CY40:DG40" si="33">SUM(CY9:CY39)</f>
        <v>0</v>
      </c>
      <c r="CZ40" s="254">
        <f t="shared" si="33"/>
        <v>0</v>
      </c>
      <c r="DA40" s="254">
        <f t="shared" si="33"/>
        <v>0</v>
      </c>
      <c r="DB40" s="254">
        <f t="shared" si="33"/>
        <v>0</v>
      </c>
      <c r="DC40" s="254">
        <f t="shared" si="33"/>
        <v>0</v>
      </c>
      <c r="DD40" s="254">
        <f t="shared" si="33"/>
        <v>0</v>
      </c>
      <c r="DE40" s="254">
        <f t="shared" si="33"/>
        <v>0</v>
      </c>
      <c r="DF40" s="254">
        <f t="shared" si="33"/>
        <v>0</v>
      </c>
      <c r="DG40" s="254">
        <f t="shared" si="33"/>
        <v>0</v>
      </c>
    </row>
    <row r="41" spans="1:118" ht="26" thickBot="1">
      <c r="A41" s="236"/>
      <c r="B41" s="236"/>
      <c r="C41" s="236"/>
      <c r="D41" s="236"/>
      <c r="E41" s="236"/>
      <c r="F41" s="236"/>
      <c r="G41" s="236"/>
      <c r="H41" s="236"/>
      <c r="I41" s="236"/>
      <c r="J41" s="236"/>
      <c r="K41" s="243"/>
      <c r="L41" s="243"/>
      <c r="M41" s="243"/>
      <c r="N41" s="243"/>
      <c r="O41" s="243"/>
      <c r="P41" s="243"/>
      <c r="Q41" s="243"/>
      <c r="R41" s="243"/>
      <c r="S41" s="478"/>
      <c r="T41" s="478"/>
      <c r="U41" s="478"/>
      <c r="V41" s="478"/>
      <c r="W41" s="478"/>
      <c r="X41" s="478"/>
      <c r="Y41" s="239"/>
      <c r="Z41" s="215"/>
      <c r="AA41" s="239"/>
      <c r="AB41" s="215"/>
      <c r="AC41" s="215"/>
      <c r="AD41" s="239"/>
      <c r="AE41" s="239"/>
      <c r="AG41" s="239"/>
      <c r="BC41" s="239"/>
      <c r="BD41" s="239"/>
      <c r="BE41" s="239"/>
      <c r="BF41" s="239"/>
      <c r="BG41" s="116"/>
      <c r="CB41" s="239"/>
      <c r="CC41" s="239"/>
      <c r="CD41" s="116"/>
      <c r="CX41" s="253"/>
      <c r="CZ41"/>
    </row>
    <row r="42" spans="1:118" ht="70" customHeight="1">
      <c r="A42" s="875" t="str">
        <f>"Arbejdstid for "&amp;A7&amp;" måned:"</f>
        <v>Arbejdstid for Januar måned:</v>
      </c>
      <c r="B42" s="876"/>
      <c r="C42" s="876"/>
      <c r="D42" s="876"/>
      <c r="E42" s="876"/>
      <c r="F42" s="876"/>
      <c r="G42" s="876"/>
      <c r="H42" s="347" t="s">
        <v>258</v>
      </c>
      <c r="I42" s="876" t="s">
        <v>224</v>
      </c>
      <c r="J42" s="877"/>
      <c r="K42" s="878"/>
      <c r="L42" s="267"/>
      <c r="M42" s="843" t="str">
        <f>"Ulempetimer og weekendtimer i "&amp;A5&amp;""</f>
        <v>Ulempetimer og weekendtimer i Januar måneds kalender for: . Måneden vedr. normperioden:  - .</v>
      </c>
      <c r="N42" s="844"/>
      <c r="O42" s="844"/>
      <c r="P42" s="844"/>
      <c r="Q42" s="844"/>
      <c r="R42" s="844"/>
      <c r="S42" s="844"/>
      <c r="T42" s="844"/>
      <c r="U42" s="844"/>
      <c r="V42" s="844"/>
      <c r="W42" s="844"/>
      <c r="X42" s="845"/>
      <c r="Y42" s="243"/>
      <c r="Z42" s="243"/>
      <c r="AD42" s="94"/>
      <c r="AE42" s="94"/>
      <c r="BM42" s="1"/>
      <c r="CJ42" s="1"/>
      <c r="CU42" s="253"/>
      <c r="CV42" s="253"/>
      <c r="CY42"/>
      <c r="CZ42"/>
    </row>
    <row r="43" spans="1:118">
      <c r="A43" s="879" t="s">
        <v>601</v>
      </c>
      <c r="B43" s="880"/>
      <c r="C43" s="880"/>
      <c r="D43" s="880"/>
      <c r="E43" s="880"/>
      <c r="F43" s="880"/>
      <c r="G43" s="880"/>
      <c r="H43" s="261">
        <f>D78</f>
        <v>23</v>
      </c>
      <c r="I43" s="892">
        <f>IF(Stamoplysninger!$E$12="Ja",1924/Arbejdstidsoversigt!$K$9*Stamoplysninger!$E$15*H43,H43*7.4*Stamoplysninger!$E$15)</f>
        <v>0</v>
      </c>
      <c r="J43" s="893"/>
      <c r="K43" s="894"/>
      <c r="L43" s="263"/>
      <c r="M43" s="846" t="s">
        <v>550</v>
      </c>
      <c r="N43" s="847"/>
      <c r="O43" s="847"/>
      <c r="P43" s="847"/>
      <c r="Q43" s="847"/>
      <c r="R43" s="847"/>
      <c r="S43" s="847"/>
      <c r="T43" s="847"/>
      <c r="U43" s="848"/>
      <c r="V43" s="990">
        <f>M73+S72+T72+M76+M80+M74+N73+N80</f>
        <v>0</v>
      </c>
      <c r="W43" s="990"/>
      <c r="X43" s="991"/>
      <c r="Y43" s="243"/>
      <c r="Z43" s="243"/>
      <c r="AD43" s="94"/>
      <c r="AE43" s="94"/>
      <c r="BM43" s="1"/>
      <c r="CJ43" s="1"/>
      <c r="CU43" s="253"/>
      <c r="CV43" s="253"/>
      <c r="CY43"/>
      <c r="CZ43"/>
    </row>
    <row r="44" spans="1:118">
      <c r="A44" s="879" t="str">
        <f>"Ferie "&amp;A7&amp;" måned"</f>
        <v>Ferie Januar måned</v>
      </c>
      <c r="B44" s="880"/>
      <c r="C44" s="880"/>
      <c r="D44" s="880"/>
      <c r="E44" s="880"/>
      <c r="F44" s="880"/>
      <c r="G44" s="880"/>
      <c r="H44" s="262" t="str">
        <f>IF(D73&gt;0,$D$73,"0")</f>
        <v>0</v>
      </c>
      <c r="I44" s="881">
        <f>H44*7.4*Stamoplysninger!$E$15</f>
        <v>0</v>
      </c>
      <c r="J44" s="882"/>
      <c r="K44" s="883"/>
      <c r="L44" s="263"/>
      <c r="M44" s="852" t="s">
        <v>262</v>
      </c>
      <c r="N44" s="853"/>
      <c r="O44" s="853"/>
      <c r="P44" s="853"/>
      <c r="Q44" s="853"/>
      <c r="R44" s="853"/>
      <c r="S44" s="853"/>
      <c r="T44" s="853"/>
      <c r="U44" s="854"/>
      <c r="V44" s="992">
        <f>M72+S71+T71+M75+M79+M71+N71+N79</f>
        <v>0</v>
      </c>
      <c r="W44" s="992"/>
      <c r="X44" s="993"/>
      <c r="Y44" s="243"/>
      <c r="Z44" s="243"/>
      <c r="AD44" s="94"/>
      <c r="AE44" s="94"/>
      <c r="BM44" s="1"/>
      <c r="CJ44" s="1"/>
      <c r="CU44" s="253"/>
      <c r="CV44" s="253"/>
      <c r="CY44"/>
      <c r="CZ44"/>
    </row>
    <row r="45" spans="1:118">
      <c r="A45" s="879" t="str">
        <f>"Søgnehelligdage i "&amp;A7&amp;" måned"</f>
        <v>Søgnehelligdage i Januar måned</v>
      </c>
      <c r="B45" s="880"/>
      <c r="C45" s="880"/>
      <c r="D45" s="880"/>
      <c r="E45" s="880"/>
      <c r="F45" s="880"/>
      <c r="G45" s="880"/>
      <c r="H45" s="262">
        <f>IF(D72&gt;0,D72,0)</f>
        <v>1</v>
      </c>
      <c r="I45" s="881">
        <f>H45*7.4*Stamoplysninger!$E$15</f>
        <v>0</v>
      </c>
      <c r="J45" s="882"/>
      <c r="K45" s="883"/>
      <c r="L45" s="264"/>
      <c r="M45" s="1034" t="s">
        <v>301</v>
      </c>
      <c r="N45" s="1035"/>
      <c r="O45" s="1035"/>
      <c r="P45" s="1035"/>
      <c r="Q45" s="1035"/>
      <c r="R45" s="1035"/>
      <c r="S45" s="1035"/>
      <c r="T45" s="1035"/>
      <c r="U45" s="1036"/>
      <c r="V45" s="1037">
        <f>December!V53</f>
        <v>0</v>
      </c>
      <c r="W45" s="1038"/>
      <c r="X45" s="1039"/>
      <c r="Y45" s="243"/>
      <c r="Z45" s="243"/>
      <c r="AD45" s="94"/>
      <c r="AE45" s="94"/>
      <c r="BM45" s="1"/>
      <c r="CJ45" s="1"/>
      <c r="CU45" s="253"/>
      <c r="CV45" s="253"/>
      <c r="CY45"/>
      <c r="CZ45"/>
    </row>
    <row r="46" spans="1:118">
      <c r="A46" s="879" t="str">
        <f>"Nettoarbejdstid ialt i "&amp;A7&amp;" måned"</f>
        <v>Nettoarbejdstid ialt i Januar måned</v>
      </c>
      <c r="B46" s="880"/>
      <c r="C46" s="880"/>
      <c r="D46" s="880"/>
      <c r="E46" s="880"/>
      <c r="F46" s="880"/>
      <c r="G46" s="880"/>
      <c r="H46" s="265">
        <f>H43-H44-H45</f>
        <v>22</v>
      </c>
      <c r="I46" s="881">
        <f>I43-I44-I45</f>
        <v>0</v>
      </c>
      <c r="J46" s="882"/>
      <c r="K46" s="883"/>
      <c r="L46" s="264"/>
      <c r="M46" s="862" t="s">
        <v>308</v>
      </c>
      <c r="N46" s="863"/>
      <c r="O46" s="863"/>
      <c r="P46" s="863"/>
      <c r="Q46" s="863"/>
      <c r="R46" s="863"/>
      <c r="S46" s="863"/>
      <c r="T46" s="863"/>
      <c r="U46" s="864"/>
      <c r="V46" s="865">
        <f>V44+V45</f>
        <v>0</v>
      </c>
      <c r="W46" s="866"/>
      <c r="X46" s="1040"/>
      <c r="Y46" s="243"/>
      <c r="Z46" s="243"/>
      <c r="AD46" s="94"/>
      <c r="AE46" s="94"/>
      <c r="BM46" s="1"/>
      <c r="CJ46" s="1"/>
      <c r="CU46" s="253"/>
      <c r="CV46" s="253"/>
      <c r="CY46"/>
      <c r="CZ46"/>
    </row>
    <row r="47" spans="1:118">
      <c r="A47" s="895" t="str">
        <f>"Planlagt arbejdstid efter ovennstående "&amp;A7&amp;" måned kalender"</f>
        <v>Planlagt arbejdstid efter ovennstående Januar måned kalender</v>
      </c>
      <c r="B47" s="896"/>
      <c r="C47" s="896"/>
      <c r="D47" s="896"/>
      <c r="E47" s="896"/>
      <c r="F47" s="896"/>
      <c r="G47" s="896"/>
      <c r="H47" s="521">
        <f>D64+D65+D66+D67+D68+D69+D70</f>
        <v>20</v>
      </c>
      <c r="I47" s="897">
        <f>N40+R40-J67</f>
        <v>0</v>
      </c>
      <c r="J47" s="834"/>
      <c r="K47" s="898"/>
      <c r="L47" s="414"/>
      <c r="M47" s="817" t="s">
        <v>299</v>
      </c>
      <c r="N47" s="818"/>
      <c r="O47" s="818"/>
      <c r="P47" s="818"/>
      <c r="Q47" s="818"/>
      <c r="R47" s="818"/>
      <c r="S47" s="818"/>
      <c r="T47" s="818"/>
      <c r="U47" s="818"/>
      <c r="V47" s="818"/>
      <c r="W47" s="818"/>
      <c r="X47" s="1032"/>
      <c r="Y47" s="243"/>
      <c r="Z47" s="243"/>
      <c r="AD47" s="94"/>
      <c r="AE47" s="94"/>
      <c r="BM47" s="1"/>
      <c r="CJ47" s="1"/>
      <c r="CU47" s="253"/>
      <c r="CV47" s="253"/>
      <c r="CY47"/>
      <c r="CZ47"/>
    </row>
    <row r="48" spans="1:118">
      <c r="A48" s="902" t="s">
        <v>492</v>
      </c>
      <c r="B48" s="903"/>
      <c r="C48" s="903"/>
      <c r="D48" s="903"/>
      <c r="E48" s="903"/>
      <c r="F48" s="903"/>
      <c r="G48" s="903"/>
      <c r="H48" s="904"/>
      <c r="I48" s="899">
        <f>(M71+M73+M81+M83+M77+M78+M82)*-1</f>
        <v>0</v>
      </c>
      <c r="J48" s="900"/>
      <c r="K48" s="901"/>
      <c r="L48" s="415"/>
      <c r="M48" s="820" t="s">
        <v>506</v>
      </c>
      <c r="N48" s="821"/>
      <c r="O48" s="821"/>
      <c r="P48" s="821"/>
      <c r="Q48" s="821"/>
      <c r="R48" s="821"/>
      <c r="S48" s="821"/>
      <c r="T48" s="821"/>
      <c r="U48" s="822"/>
      <c r="V48" s="823" t="s">
        <v>224</v>
      </c>
      <c r="W48" s="824"/>
      <c r="X48" s="1033"/>
      <c r="Y48" s="243"/>
      <c r="Z48" s="243"/>
      <c r="AD48" s="94"/>
      <c r="AE48" s="94"/>
      <c r="BM48" s="1"/>
      <c r="CJ48" s="1"/>
      <c r="CU48" s="253"/>
      <c r="CV48" s="253"/>
      <c r="CY48"/>
      <c r="CZ48"/>
    </row>
    <row r="49" spans="1:110">
      <c r="A49" s="837" t="str">
        <f>"Arbejde særligt planlagt for "&amp;A7&amp;" måned efter fanen skemaoplysninger"</f>
        <v>Arbejde særligt planlagt for Januar måned efter fanen skemaoplysninger</v>
      </c>
      <c r="B49" s="838"/>
      <c r="C49" s="838"/>
      <c r="D49" s="838"/>
      <c r="E49" s="838"/>
      <c r="F49" s="838"/>
      <c r="G49" s="838"/>
      <c r="H49" s="839"/>
      <c r="I49" s="834">
        <f>Skemaoplysninger!P91</f>
        <v>0</v>
      </c>
      <c r="J49" s="835"/>
      <c r="K49" s="836"/>
      <c r="L49" s="416"/>
      <c r="M49" s="805"/>
      <c r="N49" s="806"/>
      <c r="O49" s="806"/>
      <c r="P49" s="806"/>
      <c r="Q49" s="806"/>
      <c r="R49" s="806"/>
      <c r="S49" s="806"/>
      <c r="T49" s="806"/>
      <c r="U49" s="807"/>
      <c r="V49" s="826"/>
      <c r="W49" s="826"/>
      <c r="X49" s="827"/>
      <c r="Y49"/>
      <c r="Z49" s="243"/>
      <c r="AA49" s="243"/>
      <c r="AG49" s="94"/>
      <c r="AH49" s="94"/>
      <c r="BA49" s="243"/>
      <c r="BO49" s="1"/>
      <c r="CL49" s="1"/>
      <c r="CV49" s="253"/>
      <c r="CW49" s="253"/>
      <c r="CY49"/>
      <c r="CZ49"/>
    </row>
    <row r="50" spans="1:110">
      <c r="A50" s="884" t="s">
        <v>296</v>
      </c>
      <c r="B50" s="885"/>
      <c r="C50" s="885"/>
      <c r="D50" s="885"/>
      <c r="E50" s="885"/>
      <c r="F50" s="885"/>
      <c r="G50" s="885"/>
      <c r="H50" s="885"/>
      <c r="I50" s="1027">
        <f>V40+X40-N68-N66-P66</f>
        <v>0</v>
      </c>
      <c r="J50" s="899"/>
      <c r="K50" s="1028"/>
      <c r="L50" s="245"/>
      <c r="M50" s="805"/>
      <c r="N50" s="806"/>
      <c r="O50" s="806"/>
      <c r="P50" s="806"/>
      <c r="Q50" s="806"/>
      <c r="R50" s="806"/>
      <c r="S50" s="806"/>
      <c r="T50" s="806"/>
      <c r="U50" s="807"/>
      <c r="V50" s="808"/>
      <c r="W50" s="809"/>
      <c r="X50" s="810"/>
      <c r="Y50"/>
      <c r="Z50" s="243"/>
      <c r="AA50" s="243"/>
      <c r="AE50" s="94"/>
      <c r="AF50" s="252"/>
      <c r="AG50" s="94"/>
      <c r="BN50" s="1"/>
      <c r="CK50" s="1"/>
      <c r="CV50" s="253"/>
      <c r="CW50" s="253"/>
      <c r="CY50"/>
      <c r="CZ50"/>
    </row>
    <row r="51" spans="1:110" ht="17" thickBot="1">
      <c r="A51" s="266" t="str">
        <f>"Faktisk arbejdstid ialt i "&amp;A7&amp;" måned"</f>
        <v>Faktisk arbejdstid ialt i Januar måned</v>
      </c>
      <c r="B51" s="330"/>
      <c r="C51" s="331"/>
      <c r="D51" s="331"/>
      <c r="E51" s="331"/>
      <c r="F51" s="331"/>
      <c r="G51" s="331"/>
      <c r="H51" s="332"/>
      <c r="I51" s="840">
        <f>I47+I50+I49+I48</f>
        <v>0</v>
      </c>
      <c r="J51" s="841"/>
      <c r="K51" s="842"/>
      <c r="L51" s="245"/>
      <c r="M51" s="805"/>
      <c r="N51" s="806"/>
      <c r="O51" s="806"/>
      <c r="P51" s="806"/>
      <c r="Q51" s="806"/>
      <c r="R51" s="806"/>
      <c r="S51" s="806"/>
      <c r="T51" s="806"/>
      <c r="U51" s="807"/>
      <c r="V51" s="808"/>
      <c r="W51" s="809"/>
      <c r="X51" s="810"/>
      <c r="Y51" s="243"/>
      <c r="Z51" s="243"/>
      <c r="AA51" s="218"/>
      <c r="AB51" s="252"/>
      <c r="AC51" s="252"/>
      <c r="AD51" s="252"/>
      <c r="AE51" s="243"/>
      <c r="AF51" s="252"/>
      <c r="AH51" s="243"/>
      <c r="AI51" s="243"/>
      <c r="AM51" s="94"/>
      <c r="AN51" s="94"/>
      <c r="BU51" s="1"/>
      <c r="CR51" s="1"/>
      <c r="CY51"/>
      <c r="CZ51"/>
      <c r="DC51" s="253"/>
      <c r="DD51" s="253"/>
    </row>
    <row r="52" spans="1:110" ht="17" thickBot="1">
      <c r="A52" s="260"/>
      <c r="B52" s="260"/>
      <c r="C52" s="260"/>
      <c r="D52" s="260"/>
      <c r="E52" s="260"/>
      <c r="F52" s="260"/>
      <c r="G52" s="260"/>
      <c r="H52" s="260"/>
      <c r="I52" s="577"/>
      <c r="J52" s="577"/>
      <c r="K52" s="577"/>
      <c r="L52" s="551"/>
      <c r="M52" s="805"/>
      <c r="N52" s="806"/>
      <c r="O52" s="806"/>
      <c r="P52" s="806"/>
      <c r="Q52" s="806"/>
      <c r="R52" s="806"/>
      <c r="S52" s="806"/>
      <c r="T52" s="806"/>
      <c r="U52" s="807"/>
      <c r="V52" s="808"/>
      <c r="W52" s="809"/>
      <c r="X52" s="810"/>
      <c r="Y52" s="243"/>
      <c r="Z52" s="243"/>
      <c r="AA52" s="243"/>
      <c r="AB52" s="243"/>
      <c r="AC52" s="218"/>
      <c r="AD52" s="252"/>
      <c r="AE52" s="252"/>
      <c r="AF52" s="252"/>
      <c r="AG52" s="252"/>
      <c r="AH52" s="243"/>
      <c r="AJ52" s="243"/>
      <c r="AK52" s="243"/>
      <c r="AO52" s="94"/>
      <c r="AP52" s="94"/>
      <c r="BW52" s="1"/>
      <c r="CT52" s="1"/>
      <c r="CY52"/>
      <c r="CZ52"/>
      <c r="DE52" s="253"/>
      <c r="DF52" s="253"/>
    </row>
    <row r="53" spans="1:110" ht="35" thickBot="1">
      <c r="A53" s="875" t="s">
        <v>527</v>
      </c>
      <c r="B53" s="876"/>
      <c r="C53" s="876"/>
      <c r="D53" s="876"/>
      <c r="E53" s="876"/>
      <c r="F53" s="876"/>
      <c r="G53" s="876"/>
      <c r="H53" s="670" t="s">
        <v>614</v>
      </c>
      <c r="I53" s="876" t="s">
        <v>526</v>
      </c>
      <c r="J53" s="876"/>
      <c r="K53" s="878"/>
      <c r="L53" s="551"/>
      <c r="M53" s="811" t="s">
        <v>300</v>
      </c>
      <c r="N53" s="812"/>
      <c r="O53" s="812"/>
      <c r="P53" s="812"/>
      <c r="Q53" s="812"/>
      <c r="R53" s="812"/>
      <c r="S53" s="812"/>
      <c r="T53" s="812"/>
      <c r="U53" s="813"/>
      <c r="V53" s="1006">
        <f>V46-SUM(V49:X52)</f>
        <v>0</v>
      </c>
      <c r="W53" s="1007"/>
      <c r="X53" s="1008"/>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905"/>
      <c r="B54" s="906"/>
      <c r="C54" s="906"/>
      <c r="D54" s="906"/>
      <c r="E54" s="906"/>
      <c r="F54" s="906"/>
      <c r="G54" s="906"/>
      <c r="H54" s="664"/>
      <c r="I54" s="978">
        <f>December!I62</f>
        <v>0</v>
      </c>
      <c r="J54" s="978"/>
      <c r="K54" s="979"/>
      <c r="L54" s="551"/>
      <c r="M54" s="578"/>
      <c r="N54" s="578"/>
      <c r="O54" s="578"/>
      <c r="P54" s="578"/>
      <c r="Q54" s="579"/>
      <c r="R54" s="580"/>
      <c r="S54" s="580"/>
      <c r="T54" s="580"/>
      <c r="U54" s="580"/>
      <c r="V54" s="578"/>
      <c r="W54" s="581"/>
      <c r="X54" s="578"/>
      <c r="Y54" s="243"/>
      <c r="Z54" s="243"/>
      <c r="AA54" s="243"/>
      <c r="AB54" s="243"/>
      <c r="AC54" s="218"/>
      <c r="AD54" s="252"/>
      <c r="AE54" s="252"/>
      <c r="AF54" s="252"/>
      <c r="AG54" s="252"/>
      <c r="AH54" s="243"/>
      <c r="AJ54" s="243"/>
      <c r="AK54" s="243"/>
      <c r="AO54" s="94"/>
      <c r="AP54" s="94"/>
      <c r="BW54" s="1"/>
      <c r="CT54" s="1"/>
      <c r="CY54"/>
      <c r="CZ54"/>
      <c r="DE54" s="253"/>
      <c r="DF54" s="253"/>
    </row>
    <row r="55" spans="1:110" ht="16" customHeight="1">
      <c r="A55" s="1013" t="s">
        <v>530</v>
      </c>
      <c r="B55" s="1014"/>
      <c r="C55" s="1014"/>
      <c r="D55" s="1014"/>
      <c r="E55" s="1014"/>
      <c r="F55" s="1014"/>
      <c r="G55" s="1015"/>
      <c r="H55" s="664"/>
      <c r="I55" s="1016"/>
      <c r="J55" s="1017"/>
      <c r="K55" s="1018"/>
      <c r="L55" s="551"/>
      <c r="M55" s="578"/>
      <c r="N55" s="578"/>
      <c r="O55" s="578"/>
      <c r="P55" s="578"/>
      <c r="Q55" s="579"/>
      <c r="R55" s="580"/>
      <c r="S55" s="580"/>
      <c r="T55" s="580"/>
      <c r="U55" s="580"/>
      <c r="V55" s="578"/>
      <c r="W55" s="581"/>
      <c r="X55" s="578"/>
      <c r="Y55" s="243"/>
      <c r="Z55" s="243"/>
      <c r="AA55" s="243"/>
      <c r="AB55" s="243"/>
      <c r="AC55" s="218"/>
      <c r="AD55" s="252"/>
      <c r="AE55" s="252"/>
      <c r="AF55" s="252"/>
      <c r="AG55" s="252"/>
      <c r="AH55" s="243"/>
      <c r="AJ55" s="243"/>
      <c r="AK55" s="243"/>
      <c r="AO55" s="94"/>
      <c r="AP55" s="94"/>
      <c r="BW55" s="1"/>
      <c r="CT55" s="1"/>
      <c r="CY55"/>
      <c r="CZ55"/>
      <c r="DE55" s="253"/>
      <c r="DF55" s="253"/>
    </row>
    <row r="56" spans="1:110" ht="37" customHeight="1">
      <c r="A56" s="802" t="s">
        <v>616</v>
      </c>
      <c r="B56" s="803"/>
      <c r="C56" s="803"/>
      <c r="D56" s="803"/>
      <c r="E56" s="803"/>
      <c r="F56" s="803"/>
      <c r="G56" s="803"/>
      <c r="H56" s="803"/>
      <c r="I56" s="803"/>
      <c r="J56" s="803"/>
      <c r="K56" s="804"/>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0" ht="35" customHeight="1">
      <c r="A57" s="907" t="s">
        <v>615</v>
      </c>
      <c r="B57" s="908"/>
      <c r="C57" s="958" t="s">
        <v>566</v>
      </c>
      <c r="D57" s="959"/>
      <c r="E57" s="960" t="s">
        <v>567</v>
      </c>
      <c r="F57" s="803"/>
      <c r="G57" s="961"/>
      <c r="H57" s="970" t="s">
        <v>528</v>
      </c>
      <c r="I57" s="970"/>
      <c r="J57" s="970"/>
      <c r="K57" s="971"/>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0">
      <c r="A58" s="962"/>
      <c r="B58" s="963"/>
      <c r="C58" s="966"/>
      <c r="D58" s="965"/>
      <c r="E58" s="967"/>
      <c r="F58" s="968"/>
      <c r="G58" s="969"/>
      <c r="H58" s="665"/>
      <c r="I58" s="956"/>
      <c r="J58" s="956"/>
      <c r="K58" s="957"/>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0">
      <c r="A59" s="964"/>
      <c r="B59" s="965"/>
      <c r="C59" s="966"/>
      <c r="D59" s="965"/>
      <c r="E59" s="967"/>
      <c r="F59" s="968"/>
      <c r="G59" s="969"/>
      <c r="H59" s="665"/>
      <c r="I59" s="956"/>
      <c r="J59" s="956"/>
      <c r="K59" s="957"/>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0">
      <c r="A60" s="964"/>
      <c r="B60" s="965"/>
      <c r="C60" s="966"/>
      <c r="D60" s="965"/>
      <c r="E60" s="967"/>
      <c r="F60" s="968"/>
      <c r="G60" s="969"/>
      <c r="H60" s="665"/>
      <c r="I60" s="956"/>
      <c r="J60" s="956"/>
      <c r="K60" s="957"/>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0">
      <c r="A61" s="964"/>
      <c r="B61" s="965"/>
      <c r="C61" s="966"/>
      <c r="D61" s="965"/>
      <c r="E61" s="967"/>
      <c r="F61" s="968"/>
      <c r="G61" s="969"/>
      <c r="H61" s="665"/>
      <c r="I61" s="956"/>
      <c r="J61" s="956"/>
      <c r="K61" s="957"/>
      <c r="L61" s="551"/>
      <c r="M61" s="578"/>
      <c r="N61" s="578"/>
      <c r="O61" s="578"/>
      <c r="P61" s="578"/>
      <c r="Q61" s="579"/>
      <c r="R61" s="580"/>
      <c r="S61" s="580"/>
      <c r="T61" s="580"/>
      <c r="U61" s="580"/>
      <c r="V61" s="578"/>
      <c r="W61" s="581"/>
      <c r="X61" s="578"/>
      <c r="Y61" s="243"/>
      <c r="Z61" s="243"/>
      <c r="AA61" s="243"/>
      <c r="AB61" s="243"/>
      <c r="AC61" s="218"/>
      <c r="AD61" s="252"/>
      <c r="AE61" s="252"/>
      <c r="AF61" s="252"/>
      <c r="AG61" s="252"/>
      <c r="AH61" s="243"/>
      <c r="AJ61" s="243"/>
      <c r="AK61" s="243"/>
      <c r="AO61" s="94"/>
      <c r="AP61" s="94"/>
      <c r="BW61" s="1"/>
      <c r="CT61" s="1"/>
      <c r="CY61"/>
      <c r="CZ61"/>
      <c r="DE61" s="253"/>
      <c r="DF61" s="253"/>
    </row>
    <row r="62" spans="1:110" ht="17" thickBot="1">
      <c r="A62" s="953" t="s">
        <v>529</v>
      </c>
      <c r="B62" s="954"/>
      <c r="C62" s="955"/>
      <c r="D62" s="955"/>
      <c r="E62" s="955"/>
      <c r="F62" s="955"/>
      <c r="G62" s="955"/>
      <c r="H62" s="667">
        <f>H55+H54-SUM(H58:H61)</f>
        <v>0</v>
      </c>
      <c r="I62" s="950">
        <f>I54+I55-SUM(I58:K61)</f>
        <v>0</v>
      </c>
      <c r="J62" s="951"/>
      <c r="K62" s="952"/>
      <c r="L62" s="551"/>
      <c r="M62" s="578"/>
      <c r="N62" s="578"/>
      <c r="O62" s="578"/>
      <c r="P62" s="578"/>
      <c r="Q62" s="579"/>
      <c r="R62" s="580"/>
      <c r="S62" s="580"/>
      <c r="T62" s="580"/>
      <c r="U62" s="580"/>
      <c r="V62" s="578"/>
      <c r="W62" s="581"/>
      <c r="X62" s="578"/>
      <c r="Y62" s="243"/>
      <c r="Z62" s="243"/>
      <c r="AA62" s="243"/>
      <c r="AB62" s="243"/>
      <c r="AC62" s="218"/>
      <c r="AD62" s="252"/>
      <c r="AE62" s="252"/>
      <c r="AF62" s="252"/>
      <c r="AG62" s="252"/>
      <c r="AH62" s="243"/>
      <c r="AJ62" s="243"/>
      <c r="AK62" s="243"/>
      <c r="AO62" s="94"/>
      <c r="AP62" s="94"/>
      <c r="BW62" s="1"/>
      <c r="CT62" s="1"/>
      <c r="CY62"/>
      <c r="CZ62"/>
      <c r="DE62" s="253"/>
      <c r="DF62" s="253"/>
    </row>
    <row r="63" spans="1:110">
      <c r="A63" s="260"/>
      <c r="B63" s="260"/>
      <c r="C63" s="260"/>
      <c r="D63" s="260"/>
      <c r="E63" s="260"/>
      <c r="F63" s="260"/>
      <c r="G63" s="260"/>
      <c r="H63" s="250"/>
      <c r="I63" s="234"/>
      <c r="J63" s="234"/>
      <c r="K63" s="268" t="s">
        <v>297</v>
      </c>
      <c r="L63" s="245"/>
      <c r="M63" s="243"/>
      <c r="N63" s="243"/>
      <c r="O63" s="218"/>
      <c r="P63" s="252"/>
      <c r="Q63" s="252"/>
      <c r="R63" s="252"/>
      <c r="S63" s="243"/>
      <c r="T63" s="252"/>
      <c r="V63" s="243"/>
      <c r="W63" s="243"/>
      <c r="Y63"/>
      <c r="Z63"/>
      <c r="AA63" s="94"/>
      <c r="AB63" s="94"/>
      <c r="BI63" s="1"/>
      <c r="CF63" s="1"/>
      <c r="CQ63" s="253"/>
      <c r="CR63" s="253"/>
      <c r="CY63"/>
      <c r="CZ63"/>
    </row>
    <row r="64" spans="1:110" hidden="1">
      <c r="A64" s="547" t="s">
        <v>209</v>
      </c>
      <c r="B64" s="547"/>
      <c r="C64" s="547"/>
      <c r="D64" s="547">
        <f>COUNTIF([0]!Januar,"Skema 1")</f>
        <v>20</v>
      </c>
      <c r="E64" s="549"/>
      <c r="F64" s="547" t="s">
        <v>189</v>
      </c>
      <c r="G64" s="547">
        <f>COUNTIFS($B$9:$B$39,"ma",[0]!Januar,"Skema 1")</f>
        <v>4</v>
      </c>
      <c r="H64" s="547"/>
      <c r="I64" s="547"/>
      <c r="J64" s="550"/>
      <c r="K64" s="551"/>
      <c r="L64" s="245"/>
      <c r="M64" s="243"/>
      <c r="N64" s="243"/>
      <c r="O64" s="218"/>
      <c r="P64" s="252"/>
      <c r="Q64" s="252"/>
      <c r="R64" s="252"/>
      <c r="S64" s="243"/>
      <c r="T64" s="252"/>
      <c r="V64" s="243"/>
      <c r="W64" s="243"/>
      <c r="Y64"/>
      <c r="Z64"/>
      <c r="AA64" s="94"/>
      <c r="AB64" s="94"/>
      <c r="BI64" s="1"/>
      <c r="CF64" s="1"/>
      <c r="CQ64" s="253"/>
      <c r="CR64" s="253"/>
      <c r="CY64"/>
      <c r="CZ64"/>
    </row>
    <row r="65" spans="1:109" hidden="1">
      <c r="A65" s="972" t="s">
        <v>210</v>
      </c>
      <c r="B65" s="972"/>
      <c r="C65" s="972"/>
      <c r="D65" s="547">
        <f>COUNTIF([0]!Januar,"Skema 2")</f>
        <v>0</v>
      </c>
      <c r="E65" s="549"/>
      <c r="F65" s="547" t="s">
        <v>190</v>
      </c>
      <c r="G65" s="547">
        <f>COUNTIFS($B$9:$B$39,"ti",[0]!Januar,"Skema 1")</f>
        <v>4</v>
      </c>
      <c r="H65" s="547"/>
      <c r="I65" s="547"/>
      <c r="J65" s="550"/>
      <c r="K65" s="551"/>
      <c r="L65" s="245"/>
      <c r="M65" s="243"/>
      <c r="N65" s="243"/>
      <c r="O65" s="218"/>
      <c r="P65" s="252"/>
      <c r="Q65" s="252"/>
      <c r="R65" s="252"/>
      <c r="S65" s="243"/>
      <c r="T65" s="252"/>
      <c r="V65" s="243"/>
      <c r="W65" s="243"/>
      <c r="Y65"/>
      <c r="Z65"/>
      <c r="AA65" s="94"/>
      <c r="AB65" s="94"/>
      <c r="BI65" s="1"/>
      <c r="CF65" s="1"/>
      <c r="CQ65" s="253"/>
      <c r="CR65" s="253"/>
      <c r="CY65"/>
      <c r="CZ65"/>
    </row>
    <row r="66" spans="1:109" hidden="1">
      <c r="A66" s="972" t="s">
        <v>211</v>
      </c>
      <c r="B66" s="972"/>
      <c r="C66" s="972"/>
      <c r="D66" s="547">
        <f>COUNTIF([0]!Januar,"Skema 3")</f>
        <v>0</v>
      </c>
      <c r="E66" s="549"/>
      <c r="F66" s="547" t="s">
        <v>191</v>
      </c>
      <c r="G66" s="547">
        <f>COUNTIFS($B$9:$B$39,"on",[0]!Januar,"Skema 1")</f>
        <v>4</v>
      </c>
      <c r="H66" s="547"/>
      <c r="I66" s="547"/>
      <c r="J66" s="550"/>
      <c r="K66" s="551"/>
      <c r="M66" s="243"/>
      <c r="N66" s="550">
        <f>IF($C$9="Ikke relevant",V9,0)+IF($C$10="Ikke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relevant",V37,0)+IF($C$38="Ikke relevant",V38,0)+IF($C$39="Ikke relevant",V39,0)</f>
        <v>0</v>
      </c>
      <c r="O66" s="550">
        <f t="shared" ref="O66:P66" si="34">IF($C$9="Ikke relevant",W9,0)+IF($C$10="Ikke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relevant",W37,0)+IF($C$38="Ikke relevant",W38,0)+IF($C$39="Ikke relevant",W39,0)</f>
        <v>0</v>
      </c>
      <c r="P66" s="550">
        <f t="shared" si="34"/>
        <v>0</v>
      </c>
      <c r="Q66" s="579" t="s">
        <v>622</v>
      </c>
      <c r="R66" s="252"/>
      <c r="S66" s="243"/>
      <c r="T66" s="252"/>
      <c r="V66" s="243"/>
      <c r="W66" s="243"/>
      <c r="Y66"/>
      <c r="Z66"/>
      <c r="AA66" s="94"/>
      <c r="AB66" s="94"/>
      <c r="BI66" s="1"/>
      <c r="CF66" s="1"/>
      <c r="CQ66" s="253"/>
      <c r="CR66" s="253"/>
      <c r="CY66"/>
      <c r="CZ66"/>
    </row>
    <row r="67" spans="1:109" hidden="1">
      <c r="A67" s="972" t="s">
        <v>212</v>
      </c>
      <c r="B67" s="972"/>
      <c r="C67" s="972"/>
      <c r="D67" s="547">
        <f>COUNTIF([0]!Januar,"Skema 4")</f>
        <v>0</v>
      </c>
      <c r="E67" s="549"/>
      <c r="F67" s="547" t="s">
        <v>193</v>
      </c>
      <c r="G67" s="547">
        <f>COUNTIFS($B$9:$B$39,"to",[0]!Januar,"Skema 1")</f>
        <v>4</v>
      </c>
      <c r="H67" s="547"/>
      <c r="I67" s="547" t="s">
        <v>496</v>
      </c>
      <c r="J67" s="550">
        <f>IF(C9="Ikke relevant",R9,0)+IF(C10="Ikke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K67" s="552"/>
      <c r="L67" s="477"/>
      <c r="M67" s="470" t="s">
        <v>327</v>
      </c>
      <c r="N67" s="470" t="s">
        <v>423</v>
      </c>
      <c r="O67" s="260"/>
      <c r="P67" s="260"/>
      <c r="Q67" s="260"/>
      <c r="R67" s="260"/>
      <c r="S67" s="260"/>
      <c r="T67" s="260"/>
      <c r="U67" s="260"/>
      <c r="V67" s="260"/>
      <c r="W67" s="260"/>
      <c r="X67" s="260"/>
      <c r="Y67" s="243"/>
      <c r="Z67" s="243"/>
      <c r="AA67" s="243"/>
      <c r="AB67" s="218"/>
      <c r="AC67" s="252"/>
      <c r="AD67" s="252"/>
      <c r="AE67" s="252"/>
      <c r="AF67" s="218"/>
      <c r="AG67" s="243"/>
      <c r="AI67" s="243"/>
      <c r="AJ67" s="243"/>
      <c r="AN67" s="94"/>
      <c r="AO67" s="94"/>
      <c r="BV67" s="1"/>
      <c r="CS67" s="1"/>
      <c r="CY67"/>
      <c r="CZ67"/>
      <c r="DD67" s="253"/>
      <c r="DE67" s="253"/>
    </row>
    <row r="68" spans="1:109" hidden="1">
      <c r="A68" s="547" t="s">
        <v>113</v>
      </c>
      <c r="B68" s="547"/>
      <c r="C68" s="547"/>
      <c r="D68" s="547">
        <f>COUNTIF([0]!Januar,"Fagdag")+COUNTIF([0]!Januar,"emnedag")</f>
        <v>0</v>
      </c>
      <c r="E68" s="549"/>
      <c r="F68" s="547" t="s">
        <v>192</v>
      </c>
      <c r="G68" s="547">
        <f>COUNTIFS($B$9:$B$39,"fr",[0]!Januar,"Skema 1")</f>
        <v>4</v>
      </c>
      <c r="H68" s="547"/>
      <c r="I68" s="552" t="s">
        <v>329</v>
      </c>
      <c r="J68" s="550"/>
      <c r="K68" s="552"/>
      <c r="L68" s="477"/>
      <c r="M68" s="463">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68" s="463">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68" s="463"/>
      <c r="P68" s="354"/>
      <c r="Q68" s="465" t="s">
        <v>331</v>
      </c>
      <c r="R68" s="234"/>
      <c r="S68" s="234"/>
      <c r="T68" s="234" t="s">
        <v>332</v>
      </c>
      <c r="U68" s="234"/>
      <c r="V68" s="234"/>
      <c r="W68" s="122"/>
      <c r="X68" s="122"/>
      <c r="Y68" s="243"/>
      <c r="Z68" s="243"/>
      <c r="AA68" s="243"/>
      <c r="AB68" s="218"/>
      <c r="AC68" s="252"/>
      <c r="AD68" s="252"/>
      <c r="AE68" s="252"/>
      <c r="AF68" s="218"/>
      <c r="AG68" s="243"/>
      <c r="AI68" s="243"/>
      <c r="AJ68" s="243"/>
      <c r="AN68" s="94"/>
      <c r="AO68" s="94"/>
      <c r="BV68" s="1"/>
      <c r="CS68" s="1"/>
      <c r="CY68"/>
      <c r="CZ68"/>
      <c r="DD68" s="253"/>
      <c r="DE68" s="253"/>
    </row>
    <row r="69" spans="1:109" hidden="1">
      <c r="A69" s="553" t="s">
        <v>112</v>
      </c>
      <c r="B69" s="547"/>
      <c r="C69" s="547"/>
      <c r="D69" s="547">
        <f>COUNTIF([0]!Januar,"Lejrskole")+COUNTIF([0]!Januar,"Ekskursion")</f>
        <v>0</v>
      </c>
      <c r="E69" s="549"/>
      <c r="F69" s="547"/>
      <c r="G69" s="547"/>
      <c r="H69" s="547"/>
      <c r="I69" s="552" t="s">
        <v>343</v>
      </c>
      <c r="J69" s="550"/>
      <c r="K69" s="552"/>
      <c r="L69" s="477"/>
      <c r="M69" s="463">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69" s="463">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69" s="464">
        <v>0.5</v>
      </c>
      <c r="P69" s="354"/>
      <c r="Q69" s="465" t="s">
        <v>328</v>
      </c>
      <c r="R69" s="234"/>
      <c r="S69" s="234"/>
      <c r="T69" s="234"/>
      <c r="U69" s="234"/>
      <c r="V69" s="234"/>
      <c r="W69" s="122"/>
      <c r="X69" s="122"/>
      <c r="Y69" s="243"/>
      <c r="Z69" s="243"/>
      <c r="AA69" s="243"/>
      <c r="AB69" s="218"/>
      <c r="AC69" s="252"/>
      <c r="AD69" s="252"/>
      <c r="AE69" s="252"/>
      <c r="AF69" s="218"/>
      <c r="AG69" s="243"/>
      <c r="AI69" s="243"/>
      <c r="AJ69" s="243"/>
      <c r="AN69" s="94"/>
      <c r="AO69" s="94"/>
      <c r="BV69" s="1"/>
      <c r="CS69" s="1"/>
      <c r="CY69"/>
      <c r="CZ69"/>
      <c r="DD69" s="253"/>
      <c r="DE69" s="253"/>
    </row>
    <row r="70" spans="1:109" hidden="1">
      <c r="A70" s="547" t="s">
        <v>111</v>
      </c>
      <c r="B70" s="547"/>
      <c r="C70" s="547"/>
      <c r="D70" s="547">
        <f>COUNTIF([0]!Januar,"Pæd.dag")</f>
        <v>0</v>
      </c>
      <c r="E70" s="549"/>
      <c r="F70" s="547" t="s">
        <v>194</v>
      </c>
      <c r="G70" s="547">
        <f>COUNTIFS($B$9:$B$39,"ma",[0]!Januar,"Skema 2")</f>
        <v>0</v>
      </c>
      <c r="H70" s="547"/>
      <c r="I70" s="547" t="s">
        <v>342</v>
      </c>
      <c r="J70" s="550"/>
      <c r="K70" s="552"/>
      <c r="L70" s="477"/>
      <c r="M70" s="463">
        <f>SUM(M68:M69)</f>
        <v>0</v>
      </c>
      <c r="N70" s="463">
        <f>SUM(N68:N69)</f>
        <v>0</v>
      </c>
      <c r="O70" s="463">
        <f>(M70+N70)/2</f>
        <v>0</v>
      </c>
      <c r="P70" s="354">
        <f>SUM(M70:O70)</f>
        <v>0</v>
      </c>
      <c r="Q70" s="465">
        <f>(M70+N70)*25%</f>
        <v>0</v>
      </c>
      <c r="R70" s="234"/>
      <c r="S70" s="234"/>
      <c r="T70" s="234"/>
      <c r="U70" s="234"/>
      <c r="V70" s="234"/>
      <c r="W70" s="122"/>
      <c r="X70" s="122"/>
      <c r="Y70" s="243"/>
      <c r="Z70" s="243"/>
      <c r="AA70" s="243"/>
      <c r="AB70" s="218"/>
      <c r="AC70" s="252"/>
      <c r="AD70" s="252"/>
      <c r="AE70" s="252"/>
      <c r="AG70" s="243"/>
      <c r="AI70" s="243"/>
      <c r="AJ70" s="243"/>
      <c r="AN70" s="94"/>
      <c r="AO70" s="94"/>
      <c r="BV70" s="1"/>
      <c r="CS70" s="1"/>
      <c r="CY70"/>
      <c r="CZ70"/>
      <c r="DD70" s="253"/>
      <c r="DE70" s="253"/>
    </row>
    <row r="71" spans="1:109" hidden="1">
      <c r="A71" s="547" t="s">
        <v>121</v>
      </c>
      <c r="B71" s="547"/>
      <c r="C71" s="547"/>
      <c r="D71" s="547">
        <f>COUNTIF([0]!Januar,"Weekend")</f>
        <v>8</v>
      </c>
      <c r="E71" s="549"/>
      <c r="F71" s="547" t="s">
        <v>195</v>
      </c>
      <c r="G71" s="547">
        <f>COUNTIFS($B$9:$B$39,"ti",[0]!Januar,"Skema 2")</f>
        <v>0</v>
      </c>
      <c r="H71" s="547"/>
      <c r="I71" s="547" t="s">
        <v>482</v>
      </c>
      <c r="J71" s="550"/>
      <c r="K71" s="552"/>
      <c r="L71" s="512"/>
      <c r="M71" s="513">
        <f>IF(Stamoplysninger!$B$26="Weekendtimer og weekendtillæg afspadseres.",M68,0)</f>
        <v>0</v>
      </c>
      <c r="N71" s="513">
        <f>IF(Stamoplysninger!$B$26="Weekendtimer og weekendtillæg afspadseres.",N68,0)</f>
        <v>0</v>
      </c>
      <c r="O71" s="463"/>
      <c r="P71" s="354"/>
      <c r="Q71" s="465" t="s">
        <v>333</v>
      </c>
      <c r="R71" s="234"/>
      <c r="S71" s="234">
        <f>IF(Stamoplysninger!B22="Ulempetillæg afspadseres med 25%(Kræver en aftale imellem ledelsen og den ansatte)",Q70,0)</f>
        <v>0</v>
      </c>
      <c r="T71" s="234">
        <f>IF(Stamoplysninger!B22="Ulempetillæg afspadseres med 25%(Kræver en aftale imellem ledelsen og den ansatte)",(R40+X40)*0.25,0)</f>
        <v>0</v>
      </c>
      <c r="U71" s="234"/>
      <c r="V71" s="234"/>
      <c r="W71" s="122"/>
      <c r="X71" s="122"/>
      <c r="Y71"/>
      <c r="Z71"/>
      <c r="AM71" s="1"/>
      <c r="BJ71" s="1"/>
      <c r="BU71" s="253"/>
      <c r="BV71" s="253"/>
      <c r="CY71"/>
      <c r="CZ71"/>
    </row>
    <row r="72" spans="1:109" hidden="1">
      <c r="A72" s="547" t="s">
        <v>128</v>
      </c>
      <c r="B72" s="547"/>
      <c r="C72" s="547"/>
      <c r="D72" s="547">
        <f>COUNTIF([0]!Januar,"SH-dag")</f>
        <v>1</v>
      </c>
      <c r="E72" s="549"/>
      <c r="F72" s="547" t="s">
        <v>196</v>
      </c>
      <c r="G72" s="547">
        <f>COUNTIFS($B$9:$B$39,"on",[0]!Januar,"Skema 2")</f>
        <v>0</v>
      </c>
      <c r="H72" s="547"/>
      <c r="I72" s="554" t="s">
        <v>483</v>
      </c>
      <c r="J72" s="554"/>
      <c r="K72" s="554"/>
      <c r="L72" s="519"/>
      <c r="M72" s="513">
        <f>IF(Stamoplysninger!$B$26="Weekendtimer og weekendtillæg afspadseres.",O70,0)</f>
        <v>0</v>
      </c>
      <c r="N72" s="513">
        <f>IF(Stamoplysninger!$B$26="Weekendtimer og weekendtillæg afspadseres.",O70,0)</f>
        <v>0</v>
      </c>
      <c r="O72" s="463"/>
      <c r="P72" s="354"/>
      <c r="Q72" s="465" t="s">
        <v>330</v>
      </c>
      <c r="R72" s="234"/>
      <c r="S72" s="234">
        <f>IF(Stamoplysninger!B22="Ulempetillæg udbetales med 25% af nettotimelønnen.",Q70,0)</f>
        <v>0</v>
      </c>
      <c r="T72" s="234">
        <f>IF(Stamoplysninger!B22="Ulempetillæg udbetales med 25% af nettotimelønnen.",(R40+X40)*0.25,0)</f>
        <v>0</v>
      </c>
      <c r="U72" s="234"/>
      <c r="V72" s="234"/>
      <c r="W72" s="122"/>
      <c r="X72" s="122"/>
      <c r="Y72"/>
      <c r="Z72"/>
      <c r="AM72" s="1"/>
      <c r="BJ72" s="1"/>
      <c r="BU72" s="253"/>
      <c r="BV72" s="253"/>
      <c r="CY72"/>
      <c r="CZ72"/>
    </row>
    <row r="73" spans="1:109" hidden="1">
      <c r="A73" s="547" t="s">
        <v>110</v>
      </c>
      <c r="B73" s="547"/>
      <c r="C73" s="547"/>
      <c r="D73" s="547">
        <f>COUNTIF([0]!Januar,"Feriedag")</f>
        <v>0</v>
      </c>
      <c r="E73" s="549"/>
      <c r="F73" s="547" t="s">
        <v>197</v>
      </c>
      <c r="G73" s="547">
        <f>COUNTIFS($B$9:$B$39,"to",[0]!Januar,"Skema 2")</f>
        <v>0</v>
      </c>
      <c r="H73" s="547"/>
      <c r="I73" s="554" t="s">
        <v>484</v>
      </c>
      <c r="J73" s="554"/>
      <c r="K73" s="554"/>
      <c r="L73" s="520"/>
      <c r="M73" s="514">
        <f>IF(Stamoplysninger!$B$26="Weekendtimer og weekendtillæg udbetales.",M68,0)</f>
        <v>0</v>
      </c>
      <c r="N73" s="514">
        <f>IF(Stamoplysninger!$B$26="Weekendtimer og weekendtillæg udbetales.",N68,0)</f>
        <v>0</v>
      </c>
      <c r="O73" s="463"/>
      <c r="P73" s="354"/>
      <c r="Q73" s="465"/>
      <c r="R73" s="234"/>
      <c r="S73" s="234"/>
      <c r="T73" s="234"/>
      <c r="U73" s="234"/>
      <c r="V73" s="234"/>
      <c r="W73" s="122"/>
      <c r="X73" s="122"/>
      <c r="Y73"/>
      <c r="Z73"/>
      <c r="AM73" s="1"/>
      <c r="BJ73" s="1"/>
      <c r="BU73" s="253"/>
      <c r="BV73" s="253"/>
      <c r="CY73"/>
      <c r="CZ73"/>
    </row>
    <row r="74" spans="1:109" hidden="1">
      <c r="A74" s="547" t="s">
        <v>181</v>
      </c>
      <c r="B74" s="547"/>
      <c r="C74" s="547"/>
      <c r="D74" s="547">
        <f>COUNTIF([0]!Januar,"Nul-dag")</f>
        <v>2</v>
      </c>
      <c r="E74" s="549"/>
      <c r="F74" s="547" t="s">
        <v>198</v>
      </c>
      <c r="G74" s="547">
        <f>COUNTIFS($B$9:$B$39,"fr",[0]!Januar,"Skema 2")</f>
        <v>0</v>
      </c>
      <c r="H74" s="547"/>
      <c r="I74" s="554" t="s">
        <v>485</v>
      </c>
      <c r="J74" s="554"/>
      <c r="K74" s="554"/>
      <c r="L74" s="520"/>
      <c r="M74" s="514">
        <f>IF(Stamoplysninger!$B$26="Weekendtimer og weekendtillæg udbetales.",O70,0)</f>
        <v>0</v>
      </c>
      <c r="N74" s="514">
        <f>IF(Stamoplysninger!$B$26="Weekendtimer og weekendtillæg udbetales.",O70,0)</f>
        <v>0</v>
      </c>
      <c r="O74" s="463"/>
      <c r="P74" s="354"/>
      <c r="Q74" s="465"/>
      <c r="R74" s="234"/>
      <c r="S74" s="234"/>
      <c r="T74" s="234"/>
      <c r="U74" s="234"/>
      <c r="V74" s="234"/>
      <c r="W74" s="122"/>
      <c r="X74" s="122"/>
      <c r="Y74"/>
      <c r="Z74"/>
      <c r="AM74" s="1"/>
      <c r="BJ74" s="1"/>
      <c r="BU74" s="253"/>
      <c r="BV74" s="253"/>
      <c r="CY74"/>
      <c r="CZ74"/>
    </row>
    <row r="75" spans="1:109" hidden="1">
      <c r="A75" s="555" t="s">
        <v>444</v>
      </c>
      <c r="B75" s="547"/>
      <c r="C75" s="547"/>
      <c r="D75" s="547">
        <f>COUNTIF([0]!Januar,"Orlov")</f>
        <v>0</v>
      </c>
      <c r="E75" s="549"/>
      <c r="F75" s="556"/>
      <c r="G75" s="556"/>
      <c r="H75" s="556"/>
      <c r="I75" s="554" t="s">
        <v>334</v>
      </c>
      <c r="J75" s="554"/>
      <c r="K75" s="554"/>
      <c r="L75" s="516"/>
      <c r="M75" s="515">
        <f>IF(Stamoplysninger!$B$26="Der er indgået lokalaftale omkring weekendtimer.(Kræver aftale med TR/FSL) Weekendtillæg afspadseres.",O70,0)</f>
        <v>0</v>
      </c>
      <c r="N75" s="515">
        <f>IF(Stamoplysninger!$B$26="Der er indgået lokalaftale omkring weekendtimer.(Kræver aftale med TR/FSL) Weekendtillæg afspadseres.",N68,0)</f>
        <v>0</v>
      </c>
      <c r="O75" s="463"/>
      <c r="P75" s="354"/>
      <c r="Q75" s="465"/>
      <c r="R75" s="234"/>
      <c r="S75" s="234"/>
      <c r="T75" s="234"/>
      <c r="U75" s="234"/>
      <c r="V75" s="234"/>
      <c r="W75" s="122"/>
      <c r="X75" s="122"/>
      <c r="Y75"/>
      <c r="Z75"/>
      <c r="AM75" s="1"/>
      <c r="BJ75" s="1"/>
      <c r="BU75" s="253"/>
      <c r="BV75" s="253"/>
      <c r="CY75"/>
      <c r="CZ75"/>
    </row>
    <row r="76" spans="1:109" hidden="1">
      <c r="A76" s="547" t="s">
        <v>161</v>
      </c>
      <c r="B76" s="547"/>
      <c r="C76" s="547"/>
      <c r="D76" s="547">
        <f>COUNTIF([0]!Januar,"Ikke relevant")</f>
        <v>0</v>
      </c>
      <c r="E76" s="549"/>
      <c r="F76" s="547" t="s">
        <v>199</v>
      </c>
      <c r="G76" s="547">
        <f>COUNTIFS($B$9:$B$39,"ma",[0]!Januar,"Skema 3")</f>
        <v>0</v>
      </c>
      <c r="H76" s="547">
        <v>1</v>
      </c>
      <c r="I76" s="554" t="s">
        <v>335</v>
      </c>
      <c r="J76" s="554"/>
      <c r="K76" s="554"/>
      <c r="L76" s="516"/>
      <c r="M76" s="515">
        <f>IF(Stamoplysninger!$B$26="Der er indgået lokalaftale omkring weekendtimer(Kræver aftale med TR/FSL). Weekendtillæg udbetales.",O70,0)</f>
        <v>0</v>
      </c>
      <c r="N76" s="515">
        <f>IF(Stamoplysninger!$B$26="Der er indgået lokalaftale omkring weekendtimer(Kræver aftale med TR/FSL). Weekendtillæg udbetales.",N68,0)</f>
        <v>0</v>
      </c>
      <c r="O76" s="463"/>
      <c r="P76" s="354"/>
      <c r="Q76" s="465"/>
      <c r="R76" s="234"/>
      <c r="S76" s="234"/>
      <c r="T76" s="234"/>
      <c r="U76" s="234"/>
      <c r="V76" s="234"/>
      <c r="W76" s="122"/>
      <c r="X76" s="122"/>
      <c r="Y76"/>
      <c r="Z76"/>
      <c r="AM76" s="1"/>
      <c r="BJ76" s="1"/>
      <c r="BU76" s="253"/>
      <c r="BV76" s="253"/>
      <c r="CY76"/>
      <c r="CZ76"/>
    </row>
    <row r="77" spans="1:109" hidden="1">
      <c r="A77" s="547" t="s">
        <v>109</v>
      </c>
      <c r="B77" s="547"/>
      <c r="C77" s="547"/>
      <c r="D77" s="547">
        <f>SUM(D64:D76)</f>
        <v>31</v>
      </c>
      <c r="E77" s="547"/>
      <c r="F77" s="547" t="s">
        <v>200</v>
      </c>
      <c r="G77" s="547">
        <f>COUNTIFS($B$9:$B$39,"ti",[0]!Januar,"Skema 3")</f>
        <v>0</v>
      </c>
      <c r="H77" s="547">
        <v>2</v>
      </c>
      <c r="I77" s="554" t="s">
        <v>487</v>
      </c>
      <c r="J77" s="554"/>
      <c r="K77" s="554"/>
      <c r="L77" s="516"/>
      <c r="M77" s="515">
        <f>IF(Stamoplysninger!$B$26="Der er indgået lokalaftale omkring weekendtimer.(Kræver aftale med TR/FSL) Weekendtillæg afspadseres.",M68,0)</f>
        <v>0</v>
      </c>
      <c r="N77" s="515">
        <f>IF(Stamoplysninger!$B$26="Der er indgået lokalaftale omkring weekendtimer.(Kræver aftale med TR/FSL) Weekendtillæg afspadseres.",O70,0)</f>
        <v>0</v>
      </c>
      <c r="O77" s="44"/>
      <c r="P77" s="44"/>
      <c r="Q77" s="44"/>
      <c r="R77" s="44"/>
      <c r="S77" s="44"/>
      <c r="T77" s="44"/>
      <c r="Y77"/>
      <c r="Z77" s="1"/>
      <c r="AX77" s="1"/>
      <c r="BI77" s="253"/>
      <c r="BJ77" s="253"/>
      <c r="CY77"/>
      <c r="CZ77"/>
    </row>
    <row r="78" spans="1:109" hidden="1">
      <c r="A78" s="547" t="s">
        <v>242</v>
      </c>
      <c r="B78" s="547"/>
      <c r="C78" s="547"/>
      <c r="D78" s="547">
        <f>D77-D71-A87-D76</f>
        <v>23</v>
      </c>
      <c r="E78" s="557"/>
      <c r="F78" s="547" t="s">
        <v>201</v>
      </c>
      <c r="G78" s="547">
        <f>COUNTIFS($B$9:$B$39,"on",[0]!Januar,"Skema 3")</f>
        <v>0</v>
      </c>
      <c r="H78" s="547"/>
      <c r="I78" s="554" t="s">
        <v>488</v>
      </c>
      <c r="J78" s="554"/>
      <c r="K78" s="554"/>
      <c r="L78" s="516"/>
      <c r="M78" s="550">
        <f>IF($C$9="Ikke relevant",U21,0)+IF($C$10="Ikke relevant",U22,0)+IF($C$11="Ikke relevant",U23,0)+IF($C$12="Ikke relevant",U24,0)+IF($C$13="Ikke relevant",U25,0)+IF($C$14="Ikke relevant",U26,0)+IF($C$15="Ikke relevant",U27,0)+IF($C$16="Ikke relevant",U28,0)+IF($C$17="Ikke relevant",U29,0)+IF($C$18="Ikke relevant",U30,0)+IF($C$19="Ikke relevant",U31,0)+IF($C$20="Ikke relevant",U32,0)+IF($C$21="Ikke relevant",U33,0)+IF($C$22="Ikke relevant",U34,0)+IF($C$23="Ikke relevant",U35,0)+IF($C$24="Ikke relevant",U36,0)+IF($C$25="Ikke relevant",U37,0)+IF($C$26="Ikke relevant",U38,0)+IF($C$27="Ikke relevant",U39,0)+IF($C$28="Ikke relevant",U40,0)+IF($C$29="Ikke relevant",U41,0)+IF($C$30="Ikke relevant",U42,0)+IF($C$31="Ikke relevant",U43,0)+IF($C$32="Ikke relevant",U44,0)+IF($C$33="Ikke relevant",U45,0)+IF($C$34="Ikke relevant",U46,0)+IF($C$35="Ikke relevant",U47,0)+IF($C$36="Ikke relevant",U48,0)+IF($C$37="Ikke relevant",U49,0)+IF($C$38="Ikke relevant",U50,0)+IF($C$39="Ikke relevant",U51,0)</f>
        <v>0</v>
      </c>
      <c r="N78" s="550">
        <f t="shared" ref="N78:O78" si="35">IF($C$9="Ikke relevant",V21,0)+IF($C$10="Ikke relevant",V22,0)+IF($C$11="Ikke relevant",V23,0)+IF($C$12="Ikke relevant",V24,0)+IF($C$13="Ikke relevant",V25,0)+IF($C$14="Ikke relevant",V26,0)+IF($C$15="Ikke relevant",V27,0)+IF($C$16="Ikke relevant",V28,0)+IF($C$17="Ikke relevant",V29,0)+IF($C$18="Ikke relevant",V30,0)+IF($C$19="Ikke relevant",V31,0)+IF($C$20="Ikke relevant",V32,0)+IF($C$21="Ikke relevant",V33,0)+IF($C$22="Ikke relevant",V34,0)+IF($C$23="Ikke relevant",V35,0)+IF($C$24="Ikke relevant",V36,0)+IF($C$25="Ikke relevant",V37,0)+IF($C$26="Ikke relevant",V38,0)+IF($C$27="Ikke relevant",V39,0)+IF($C$28="Ikke relevant",V40,0)+IF($C$29="Ikke relevant",V41,0)+IF($C$30="Ikke relevant",V42,0)+IF($C$31="Ikke relevant",V43,0)+IF($C$32="Ikke relevant",V44,0)+IF($C$33="Ikke relevant",V45,0)+IF($C$34="Ikke relevant",V46,0)+IF($C$35="Ikke relevant",V47,0)+IF($C$36="Ikke relevant",V48,0)+IF($C$37="Ikke relevant",V49,0)+IF($C$38="Ikke relevant",V50,0)+IF($C$39="Ikke relevant",V51,0)</f>
        <v>0</v>
      </c>
      <c r="O78" s="550">
        <f t="shared" si="35"/>
        <v>0</v>
      </c>
      <c r="P78" s="579" t="s">
        <v>622</v>
      </c>
      <c r="Y78"/>
      <c r="Z78" s="1"/>
      <c r="AO78" s="1"/>
      <c r="BL78" s="1"/>
      <c r="BW78" s="253"/>
      <c r="BX78" s="253"/>
      <c r="CY78"/>
      <c r="CZ78"/>
    </row>
    <row r="79" spans="1:109" hidden="1">
      <c r="A79" s="547"/>
      <c r="B79" s="547"/>
      <c r="C79" s="547"/>
      <c r="D79" s="547"/>
      <c r="E79" s="547"/>
      <c r="F79" s="547" t="s">
        <v>202</v>
      </c>
      <c r="G79" s="547">
        <f>COUNTIFS($B$9:$B$39,"to",[0]!Januar,"Skema 3")</f>
        <v>0</v>
      </c>
      <c r="H79" s="547"/>
      <c r="I79" s="554" t="s">
        <v>336</v>
      </c>
      <c r="J79" s="554"/>
      <c r="K79" s="554"/>
      <c r="L79" s="518"/>
      <c r="M79" s="517">
        <f>IF(Stamoplysninger!$B$26="Der er indgået lokalaftale omkring weekendtillæg(Kræver aftale med TR/FSL). Weekendtimerne afspadseres.",M68,0)</f>
        <v>0</v>
      </c>
      <c r="N79" s="517">
        <f>IF(Stamoplysninger!$B$26="Der er indgået lokalaftale omkring weekendtillæg(Kræver aftale med TR/FSL). Weekendtimerne afspadseres.",N68,0)</f>
        <v>0</v>
      </c>
      <c r="Y79"/>
      <c r="Z79" s="1"/>
      <c r="AO79" s="1"/>
      <c r="BL79" s="1"/>
      <c r="BW79" s="253"/>
      <c r="BX79" s="253"/>
      <c r="CY79"/>
      <c r="CZ79"/>
    </row>
    <row r="80" spans="1:109" hidden="1">
      <c r="A80" s="547"/>
      <c r="B80" s="547"/>
      <c r="C80" s="547"/>
      <c r="D80" s="547"/>
      <c r="E80" s="547"/>
      <c r="F80" s="547" t="s">
        <v>203</v>
      </c>
      <c r="G80" s="547">
        <f>COUNTIFS($B$9:$B$39,"fr",[0]!Januar,"Skema 3")</f>
        <v>0</v>
      </c>
      <c r="H80" s="547">
        <v>1</v>
      </c>
      <c r="I80" s="554" t="s">
        <v>337</v>
      </c>
      <c r="J80" s="554"/>
      <c r="K80" s="554"/>
      <c r="L80" s="518"/>
      <c r="M80" s="517">
        <f>IF(Stamoplysninger!$B$26="Der er indgået lokalaftale omkring weekendtillæg(Kræver aftale med TR/FSL). Weekendtimerne udbetales.",M68,0)</f>
        <v>0</v>
      </c>
      <c r="N80" s="517">
        <f>IF(Stamoplysninger!$B$26="Der er indgået lokalaftale omkring weekendtillæg(Kræver aftale med TR/FSL). Weekendtimerne udbetales.",N68,0)</f>
        <v>0</v>
      </c>
      <c r="Y80"/>
      <c r="Z80" s="1"/>
      <c r="AO80" s="1"/>
      <c r="BL80" s="1"/>
      <c r="BW80" s="253"/>
      <c r="BX80" s="253"/>
      <c r="CY80"/>
      <c r="CZ80"/>
    </row>
    <row r="81" spans="1:111" hidden="1">
      <c r="A81" s="547" t="s">
        <v>298</v>
      </c>
      <c r="B81" s="547"/>
      <c r="C81" s="547"/>
      <c r="D81" s="547"/>
      <c r="E81" s="547"/>
      <c r="F81" s="547"/>
      <c r="G81" s="547"/>
      <c r="H81" s="547">
        <v>2</v>
      </c>
      <c r="I81" s="554" t="s">
        <v>489</v>
      </c>
      <c r="J81" s="554"/>
      <c r="K81" s="554"/>
      <c r="L81" s="518"/>
      <c r="M81" s="517">
        <f>IF(Stamoplysninger!$B$26="Der er indgået lokalaftale omkring weekendtillæg(Kræver aftale med TR/FSL). Weekendtimerne afspadseres.",M68,0)</f>
        <v>0</v>
      </c>
      <c r="N81" s="517">
        <f>IF(Stamoplysninger!$B$26="Der er indgået lokalaftale omkring weekendtillæg(Kræver aftale med TR/FSL). Weekendtimerne afspadseres.",N68,0)</f>
        <v>0</v>
      </c>
      <c r="Y81"/>
      <c r="Z81" s="1"/>
      <c r="AO81" s="1"/>
      <c r="BL81" s="1"/>
      <c r="BW81" s="253"/>
      <c r="BX81" s="253"/>
      <c r="CY81"/>
      <c r="CZ81"/>
    </row>
    <row r="82" spans="1:111" hidden="1">
      <c r="A82" s="547">
        <f>COUNTIF(C14:C15,"Skema 1")+COUNTIF(C14:C15,"Skema 2")+COUNTIF(C14:C15,"Skema 3")+COUNTIF(C14:C15,"Skema 4")+COUNTIF(C14:C15,"Fagdag")+COUNTIF(C14:C15,"Emnedag")+COUNTIF(C14:C15,"Lejrskole")+COUNTIF(C14:C15,"Ekskursion")+COUNTIF(C14:C15,"Pæd.dag")</f>
        <v>0</v>
      </c>
      <c r="B82" s="547"/>
      <c r="C82" s="547"/>
      <c r="D82" s="547"/>
      <c r="E82" s="547"/>
      <c r="F82" s="547" t="s">
        <v>204</v>
      </c>
      <c r="G82" s="547">
        <f>COUNTIFS($B$9:$B$39,"ma",[0]!Januar,"Skema 4")</f>
        <v>0</v>
      </c>
      <c r="H82" s="547"/>
      <c r="I82" s="554" t="s">
        <v>490</v>
      </c>
      <c r="J82" s="554"/>
      <c r="K82" s="554"/>
      <c r="L82" s="518"/>
      <c r="M82" s="517">
        <f>IF(Stamoplysninger!$B$26="Der er indgået lokalaftale omkring weekendtillæg(Kræver aftale med TR/FSL). Weekendtimerne udbetales.",M68,0)</f>
        <v>0</v>
      </c>
      <c r="N82" s="517">
        <f>IF(Stamoplysninger!$B$26="Der er indgået lokalaftale omkring weekendtillæg(Kræver aftale med TR/FSL). Weekendtimerne udbetales.",N68,0)</f>
        <v>0</v>
      </c>
      <c r="Y82"/>
      <c r="Z82" s="1"/>
      <c r="AO82" s="1"/>
      <c r="BL82" s="1"/>
      <c r="BW82" s="253"/>
      <c r="BX82" s="253"/>
      <c r="CY82"/>
      <c r="CZ82"/>
    </row>
    <row r="83" spans="1:111" hidden="1">
      <c r="A83" s="547">
        <f>COUNTIF($C$21:$C$22,"Skema 1")+COUNTIF($C$21:$C$22,"Skema 2")+COUNTIF($C$21:$C$22,"Skema 3")+COUNTIF($C$21:$C$22,"Skema 4")+COUNTIF($C$21:$C$22,"Fagdag")+COUNTIF($C$21:$C$22,"Emnedag")+COUNTIF($C$21:$C$22,"Lejrskole")+COUNTIF($C$21:$C$22,"Ekskursion")+COUNTIF($C$21:$C$22,"Pæd.dag")</f>
        <v>0</v>
      </c>
      <c r="B83" s="547"/>
      <c r="C83" s="547"/>
      <c r="D83" s="547"/>
      <c r="E83" s="547"/>
      <c r="F83" s="547" t="s">
        <v>205</v>
      </c>
      <c r="G83" s="547">
        <f>COUNTIFS($B$9:$B$39,"ti",[0]!Januar,"Skema 4")</f>
        <v>0</v>
      </c>
      <c r="H83" s="547"/>
      <c r="I83" s="547" t="s">
        <v>486</v>
      </c>
      <c r="J83" s="552"/>
      <c r="K83" s="552"/>
      <c r="L83" s="477"/>
      <c r="M83" s="463">
        <f>IF(Stamoplysninger!$B$26="Der er indgået lokalaftale omkring weekendtimer og weekendtillæg.(Kræver aftale med TR/FSL).",M68,0)</f>
        <v>0</v>
      </c>
      <c r="N83" s="463"/>
      <c r="Y83"/>
      <c r="Z83" s="1"/>
      <c r="AO83" s="1"/>
      <c r="BL83" s="1"/>
      <c r="BW83" s="253"/>
      <c r="BX83" s="253"/>
      <c r="CY83"/>
      <c r="CZ83"/>
    </row>
    <row r="84" spans="1:111" hidden="1">
      <c r="A84" s="547">
        <f>COUNTIF(C28:C29,"Skema 1")+COUNTIF(C28:C29,"Skema 2")+COUNTIF(C28:C29,"Skema 3")+COUNTIF(C28:C29,"Skema 4")+COUNTIF(C28:C29,"Fagdag")+COUNTIF(C28:C29,"Emnedag")+COUNTIF(C28:C29,"Lejrskole")+COUNTIF(C28:C29,"Ekskursion")+COUNTIF(C28:C29,"Pæd.dag")</f>
        <v>0</v>
      </c>
      <c r="B84" s="547"/>
      <c r="C84" s="547"/>
      <c r="D84" s="547"/>
      <c r="E84" s="547"/>
      <c r="F84" s="547" t="s">
        <v>206</v>
      </c>
      <c r="G84" s="547">
        <f>COUNTIFS($B$9:$B$39,"on",[0]!Januar,"Skema 4")</f>
        <v>0</v>
      </c>
      <c r="H84" s="547"/>
      <c r="I84" s="547"/>
      <c r="J84" s="552"/>
      <c r="K84" s="552"/>
      <c r="Y84"/>
      <c r="Z84" s="1"/>
      <c r="AO84" s="1"/>
      <c r="BL84" s="1"/>
      <c r="BW84" s="253"/>
      <c r="BX84" s="253"/>
      <c r="CY84"/>
      <c r="CZ84"/>
    </row>
    <row r="85" spans="1:111" hidden="1">
      <c r="A85" s="547">
        <f>COUNTIF(C35:C36,"Skema 1")+COUNTIF(C35:C36,"Skema 2")+COUNTIF(C35:C36,"Skema 3")+COUNTIF(C35:C36,"Skema 4")+COUNTIF(C35:C36,"Fagdag")+COUNTIF(C35:C36,"Emnedag")+COUNTIF(C35:C36,"Lejrskole")+COUNTIF(C35:C36,"Ekskursion")+COUNTIF(C35:C36,"Pæd.dag")</f>
        <v>0</v>
      </c>
      <c r="B85" s="547"/>
      <c r="C85" s="547"/>
      <c r="D85" s="547"/>
      <c r="E85" s="547"/>
      <c r="F85" s="547" t="s">
        <v>207</v>
      </c>
      <c r="G85" s="547">
        <f>COUNTIFS($B$9:$B$39,"to",[0]!Januar,"Skema 4")</f>
        <v>0</v>
      </c>
      <c r="H85" s="547"/>
      <c r="I85" s="547"/>
      <c r="J85" s="552"/>
      <c r="K85" s="552"/>
      <c r="Y85"/>
      <c r="Z85"/>
      <c r="AO85" s="1">
        <f>SUM(N85:AN85)</f>
        <v>0</v>
      </c>
      <c r="BL85" s="1">
        <f>SUM(AI85:BK85)</f>
        <v>0</v>
      </c>
      <c r="BW85" s="253"/>
      <c r="BX85" s="253"/>
      <c r="CY85"/>
      <c r="CZ85"/>
    </row>
    <row r="86" spans="1:111" hidden="1">
      <c r="A86" s="547"/>
      <c r="B86" s="547"/>
      <c r="C86" s="547"/>
      <c r="D86" s="547"/>
      <c r="E86" s="547"/>
      <c r="F86" s="547" t="s">
        <v>208</v>
      </c>
      <c r="G86" s="547">
        <f>COUNTIFS($B$9:$B$39,"fr",[0]!Januar,"Skema 4")</f>
        <v>0</v>
      </c>
      <c r="H86" s="547"/>
      <c r="I86" s="552"/>
      <c r="J86" s="552"/>
      <c r="K86" s="552"/>
      <c r="Y86"/>
      <c r="Z86"/>
      <c r="AO86" s="1">
        <f>SUM(N86:AN86)</f>
        <v>0</v>
      </c>
      <c r="BL86" s="1">
        <f>SUM(AI86:BK86)</f>
        <v>0</v>
      </c>
      <c r="BW86" s="253"/>
      <c r="BX86" s="253"/>
      <c r="CY86"/>
      <c r="CZ86"/>
    </row>
    <row r="87" spans="1:111" hidden="1">
      <c r="A87" s="547">
        <f>SUM(A82:A86)</f>
        <v>0</v>
      </c>
      <c r="B87" s="547"/>
      <c r="C87" s="547"/>
      <c r="D87" s="547"/>
      <c r="E87" s="547"/>
      <c r="F87" s="547"/>
      <c r="G87" s="555">
        <f>SUM(G64:G86)</f>
        <v>20</v>
      </c>
      <c r="H87" s="552"/>
      <c r="I87" s="552"/>
      <c r="J87" s="552"/>
      <c r="K87" s="552"/>
      <c r="Y87"/>
      <c r="Z87"/>
      <c r="AO87" s="1">
        <f>SUM(N87:AN87)</f>
        <v>0</v>
      </c>
      <c r="BL87" s="1">
        <f>SUM(AI87:BK87)</f>
        <v>0</v>
      </c>
      <c r="BW87" s="253"/>
      <c r="BX87" s="253"/>
      <c r="CY87"/>
      <c r="CZ87"/>
    </row>
    <row r="88" spans="1:111" hidden="1">
      <c r="A88" s="552"/>
      <c r="B88" s="552"/>
      <c r="C88" s="552"/>
      <c r="D88" s="552"/>
      <c r="E88" s="547"/>
      <c r="F88" s="547"/>
      <c r="G88" s="547"/>
      <c r="H88" s="552"/>
      <c r="I88" s="552"/>
      <c r="J88" s="552"/>
      <c r="K88" s="552"/>
      <c r="Y88"/>
      <c r="Z88"/>
      <c r="AO88" s="1">
        <f>SUM(N88:AN88)</f>
        <v>0</v>
      </c>
      <c r="BL88" s="1">
        <f>SUM(AI88:BK88)</f>
        <v>0</v>
      </c>
      <c r="BW88" s="253"/>
      <c r="BX88" s="253"/>
      <c r="CY88"/>
      <c r="CZ88"/>
    </row>
    <row r="89" spans="1:111" hidden="1">
      <c r="A89" s="552"/>
      <c r="B89" s="552"/>
      <c r="C89" s="552"/>
      <c r="D89" s="552"/>
      <c r="E89" s="547"/>
      <c r="F89" s="547"/>
      <c r="G89" s="547"/>
      <c r="H89" s="552"/>
      <c r="I89" s="552"/>
      <c r="J89" s="552"/>
      <c r="K89" s="552"/>
      <c r="Y89"/>
      <c r="Z89"/>
      <c r="BW89" s="253"/>
      <c r="BX89" s="253"/>
      <c r="CY89"/>
      <c r="CZ89"/>
    </row>
    <row r="90" spans="1:111" hidden="1">
      <c r="A90" s="552"/>
      <c r="B90" s="552"/>
      <c r="C90" s="552"/>
      <c r="D90" s="552"/>
      <c r="E90" s="547"/>
      <c r="F90" s="547"/>
      <c r="G90" s="547"/>
      <c r="H90" s="552"/>
      <c r="I90" s="552"/>
      <c r="J90" s="552"/>
      <c r="K90" s="552"/>
      <c r="Y90"/>
      <c r="Z90"/>
      <c r="BW90" s="253"/>
      <c r="BX90" s="253"/>
      <c r="CY90"/>
      <c r="CZ90"/>
    </row>
    <row r="91" spans="1:111">
      <c r="A91" s="552"/>
      <c r="B91" s="552"/>
      <c r="C91" s="552"/>
      <c r="D91" s="552"/>
      <c r="E91" s="547"/>
      <c r="F91" s="547"/>
      <c r="G91" s="547"/>
      <c r="H91" s="552"/>
      <c r="I91" s="552"/>
      <c r="J91" s="552"/>
      <c r="K91" s="552"/>
      <c r="Y91"/>
      <c r="Z91"/>
      <c r="BW91" s="253"/>
      <c r="BX91" s="253"/>
      <c r="CY91"/>
      <c r="CZ91"/>
    </row>
    <row r="92" spans="1:111">
      <c r="A92" s="552"/>
      <c r="B92" s="552"/>
      <c r="C92" s="552"/>
      <c r="D92" s="552"/>
      <c r="E92" s="547"/>
      <c r="F92" s="547"/>
      <c r="G92" s="547"/>
      <c r="H92" s="552"/>
      <c r="I92" s="552"/>
      <c r="J92" s="552"/>
      <c r="K92" s="552"/>
      <c r="Y92"/>
      <c r="Z92"/>
      <c r="BW92" s="253"/>
      <c r="BX92" s="253"/>
      <c r="CY92"/>
      <c r="CZ92"/>
    </row>
    <row r="93" spans="1:111">
      <c r="A93" s="552"/>
      <c r="B93" s="552"/>
      <c r="C93" s="552"/>
      <c r="D93" s="552"/>
      <c r="E93" s="547"/>
      <c r="F93" s="547"/>
      <c r="G93" s="547"/>
      <c r="H93" s="552"/>
      <c r="I93" s="552"/>
      <c r="J93" s="552"/>
      <c r="K93" s="552"/>
      <c r="Y93"/>
      <c r="Z93"/>
      <c r="AF93" s="235"/>
      <c r="BW93" s="253"/>
      <c r="BX93" s="253"/>
      <c r="CY93"/>
      <c r="CZ93"/>
    </row>
    <row r="94" spans="1:111">
      <c r="A94" s="552"/>
      <c r="B94" s="552"/>
      <c r="C94" s="552"/>
      <c r="D94" s="552"/>
      <c r="E94" s="547"/>
      <c r="F94" s="547"/>
      <c r="G94" s="547"/>
      <c r="H94" s="552"/>
      <c r="I94" s="552"/>
      <c r="J94" s="552"/>
      <c r="K94" s="552"/>
      <c r="Y94"/>
      <c r="Z94"/>
      <c r="AD94" s="4"/>
      <c r="AE94" s="235"/>
      <c r="AF94" s="235"/>
      <c r="AG94" s="235"/>
      <c r="AH94" s="235"/>
      <c r="CY94"/>
      <c r="CZ94"/>
      <c r="DF94" s="253"/>
      <c r="DG94" s="253"/>
    </row>
    <row r="95" spans="1:111">
      <c r="A95" s="552"/>
      <c r="B95" s="552"/>
      <c r="C95" s="552"/>
      <c r="D95" s="552"/>
      <c r="E95" s="547"/>
      <c r="F95" s="547"/>
      <c r="G95" s="547"/>
      <c r="H95" s="552"/>
      <c r="I95" s="552"/>
      <c r="J95" s="552"/>
      <c r="K95" s="552"/>
      <c r="Y95"/>
      <c r="Z95"/>
      <c r="AD95" s="4"/>
      <c r="AE95" s="235"/>
      <c r="AG95" s="235"/>
      <c r="AH95" s="235"/>
      <c r="CY95"/>
      <c r="CZ95"/>
      <c r="DF95" s="253"/>
      <c r="DG95" s="253"/>
    </row>
    <row r="96" spans="1:111">
      <c r="A96" s="552"/>
      <c r="B96" s="552"/>
      <c r="C96" s="552"/>
      <c r="D96" s="552"/>
      <c r="E96" s="547"/>
      <c r="F96" s="547"/>
      <c r="G96" s="547"/>
      <c r="H96" s="552"/>
      <c r="I96" s="552"/>
      <c r="J96" s="552"/>
      <c r="K96" s="552"/>
    </row>
    <row r="97" spans="5:7">
      <c r="E97" s="94"/>
      <c r="F97" s="94"/>
      <c r="G97" s="94"/>
    </row>
  </sheetData>
  <sheetProtection sheet="1" objects="1" scenarios="1"/>
  <mergeCells count="142">
    <mergeCell ref="E59:G59"/>
    <mergeCell ref="I59:K59"/>
    <mergeCell ref="A60:B60"/>
    <mergeCell ref="C60:D60"/>
    <mergeCell ref="E60:G60"/>
    <mergeCell ref="I60:K60"/>
    <mergeCell ref="A61:B61"/>
    <mergeCell ref="C61:D61"/>
    <mergeCell ref="E61:G61"/>
    <mergeCell ref="I61:K61"/>
    <mergeCell ref="B2:E2"/>
    <mergeCell ref="E4:G4"/>
    <mergeCell ref="K4:L4"/>
    <mergeCell ref="A5:R5"/>
    <mergeCell ref="P6:P7"/>
    <mergeCell ref="Q6:Q7"/>
    <mergeCell ref="R6:R7"/>
    <mergeCell ref="A4:D4"/>
    <mergeCell ref="S5:X5"/>
    <mergeCell ref="A3:X3"/>
    <mergeCell ref="AG6:AK6"/>
    <mergeCell ref="E6:G8"/>
    <mergeCell ref="K6:L6"/>
    <mergeCell ref="N6:N7"/>
    <mergeCell ref="O6:O7"/>
    <mergeCell ref="E11:G11"/>
    <mergeCell ref="K8:R8"/>
    <mergeCell ref="I6:I7"/>
    <mergeCell ref="J6:J7"/>
    <mergeCell ref="S6:X6"/>
    <mergeCell ref="S8:U8"/>
    <mergeCell ref="V8:X8"/>
    <mergeCell ref="E12:G12"/>
    <mergeCell ref="E13:G13"/>
    <mergeCell ref="E14:G14"/>
    <mergeCell ref="E15:G15"/>
    <mergeCell ref="E16:G16"/>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I8:J8"/>
    <mergeCell ref="AA6:AE6"/>
    <mergeCell ref="E35:G35"/>
    <mergeCell ref="E23:G23"/>
    <mergeCell ref="E24:G24"/>
    <mergeCell ref="E25:G25"/>
    <mergeCell ref="E26:G26"/>
    <mergeCell ref="E27:G27"/>
    <mergeCell ref="E28:G28"/>
    <mergeCell ref="E17:G17"/>
    <mergeCell ref="E18:G18"/>
    <mergeCell ref="E19:G19"/>
    <mergeCell ref="E20:G20"/>
    <mergeCell ref="E21:G21"/>
    <mergeCell ref="E22:G22"/>
    <mergeCell ref="E29:G29"/>
    <mergeCell ref="E30:G30"/>
    <mergeCell ref="E31:G31"/>
    <mergeCell ref="E33:G33"/>
    <mergeCell ref="E34:G34"/>
    <mergeCell ref="E32:G32"/>
    <mergeCell ref="V51:X51"/>
    <mergeCell ref="A67:C67"/>
    <mergeCell ref="A65:C65"/>
    <mergeCell ref="A66:C66"/>
    <mergeCell ref="M52:U52"/>
    <mergeCell ref="V52:X52"/>
    <mergeCell ref="A53:G54"/>
    <mergeCell ref="I53:K53"/>
    <mergeCell ref="M53:U53"/>
    <mergeCell ref="V53:X53"/>
    <mergeCell ref="I54:K54"/>
    <mergeCell ref="A55:G55"/>
    <mergeCell ref="A56:K56"/>
    <mergeCell ref="A57:B57"/>
    <mergeCell ref="C57:D57"/>
    <mergeCell ref="E57:G57"/>
    <mergeCell ref="H57:K57"/>
    <mergeCell ref="A58:B58"/>
    <mergeCell ref="C58:D58"/>
    <mergeCell ref="E58:G58"/>
    <mergeCell ref="I58:K58"/>
    <mergeCell ref="A59:B59"/>
    <mergeCell ref="I55:K55"/>
    <mergeCell ref="C59:D59"/>
    <mergeCell ref="A50:H50"/>
    <mergeCell ref="I50:K50"/>
    <mergeCell ref="A46:G46"/>
    <mergeCell ref="I46:K46"/>
    <mergeCell ref="A47:G47"/>
    <mergeCell ref="I47:K47"/>
    <mergeCell ref="A44:G44"/>
    <mergeCell ref="I51:K51"/>
    <mergeCell ref="M51:U51"/>
    <mergeCell ref="M43:U43"/>
    <mergeCell ref="V43:X43"/>
    <mergeCell ref="M44:U44"/>
    <mergeCell ref="V44:X44"/>
    <mergeCell ref="M45:U45"/>
    <mergeCell ref="V45:X45"/>
    <mergeCell ref="M46:U46"/>
    <mergeCell ref="V46:X46"/>
    <mergeCell ref="A49:H49"/>
    <mergeCell ref="I49:K49"/>
    <mergeCell ref="A62:G62"/>
    <mergeCell ref="I62:K62"/>
    <mergeCell ref="E36:G36"/>
    <mergeCell ref="E37:G37"/>
    <mergeCell ref="E38:G38"/>
    <mergeCell ref="E39:G39"/>
    <mergeCell ref="A40:I40"/>
    <mergeCell ref="M47:X47"/>
    <mergeCell ref="M48:U48"/>
    <mergeCell ref="V48:X48"/>
    <mergeCell ref="M49:U49"/>
    <mergeCell ref="V49:X49"/>
    <mergeCell ref="I44:K44"/>
    <mergeCell ref="A45:G45"/>
    <mergeCell ref="I45:K45"/>
    <mergeCell ref="A48:H48"/>
    <mergeCell ref="I48:K48"/>
    <mergeCell ref="M50:U50"/>
    <mergeCell ref="V50:X50"/>
    <mergeCell ref="A42:G42"/>
    <mergeCell ref="I42:K42"/>
    <mergeCell ref="A43:G43"/>
    <mergeCell ref="I43:K43"/>
    <mergeCell ref="M42:X42"/>
  </mergeCells>
  <conditionalFormatting sqref="A9:H31 A32:E32 H32 A33:H39">
    <cfRule type="expression" dxfId="669" priority="56">
      <formula>OR($C9="ekskursion")</formula>
    </cfRule>
    <cfRule type="expression" dxfId="668" priority="62" stopIfTrue="1">
      <formula>OR($C9="Orlov")</formula>
    </cfRule>
    <cfRule type="expression" dxfId="667" priority="61">
      <formula>OR($C9="weekend")</formula>
    </cfRule>
    <cfRule type="expression" dxfId="666" priority="60">
      <formula>OR($C9="feriedag")</formula>
    </cfRule>
    <cfRule type="expression" dxfId="665" priority="59">
      <formula>OR($C9="fagdag")</formula>
    </cfRule>
    <cfRule type="expression" dxfId="664" priority="58">
      <formula>OR($C9="emnedag")</formula>
    </cfRule>
    <cfRule type="expression" dxfId="663" priority="57">
      <formula>OR($C9="lejrskole")</formula>
    </cfRule>
    <cfRule type="expression" dxfId="662" priority="55">
      <formula>OR($C9="SH-dag")</formula>
    </cfRule>
    <cfRule type="expression" dxfId="661" priority="54">
      <formula>OR($C9="nul-dag")</formula>
    </cfRule>
    <cfRule type="expression" dxfId="660" priority="53">
      <formula>OR($C9="pæd.dag")</formula>
    </cfRule>
    <cfRule type="expression" dxfId="659" priority="52">
      <formula>OR($C9="Ikke relevant")</formula>
    </cfRule>
    <cfRule type="expression" dxfId="658" priority="48">
      <formula>OR($C9="Skema 1")</formula>
    </cfRule>
    <cfRule type="expression" dxfId="657" priority="49">
      <formula>OR($C9="skema 2")</formula>
    </cfRule>
    <cfRule type="expression" dxfId="656" priority="50">
      <formula>OR($C9="Skema 3")</formula>
    </cfRule>
    <cfRule type="expression" dxfId="655" priority="51">
      <formula>OR($C9="Skema 4")</formula>
    </cfRule>
  </conditionalFormatting>
  <conditionalFormatting sqref="E20">
    <cfRule type="expression" dxfId="654" priority="64">
      <formula>OR($D19="nul-dag")</formula>
    </cfRule>
    <cfRule type="expression" dxfId="653" priority="65">
      <formula>OR($D19="SH-dag")</formula>
    </cfRule>
    <cfRule type="expression" dxfId="652" priority="66">
      <formula>OR($D19="ekskursion")</formula>
    </cfRule>
    <cfRule type="expression" dxfId="651" priority="67">
      <formula>OR($D19="lejrskole")</formula>
    </cfRule>
    <cfRule type="expression" dxfId="650" priority="63">
      <formula>OR($D19="pæd.dag")</formula>
    </cfRule>
    <cfRule type="expression" dxfId="649" priority="68">
      <formula>OR($D19="emnedag")</formula>
    </cfRule>
    <cfRule type="expression" dxfId="648" priority="69">
      <formula>OR($D19="fagdag")</formula>
    </cfRule>
    <cfRule type="expression" dxfId="647" priority="70">
      <formula>OR($D19="feriedag")</formula>
    </cfRule>
    <cfRule type="expression" dxfId="646" priority="71">
      <formula>OR($D19="weekend")</formula>
    </cfRule>
    <cfRule type="expression" dxfId="645" priority="72" stopIfTrue="1">
      <formula>OR($D19="skoledag")</formula>
    </cfRule>
    <cfRule type="expression" dxfId="644" priority="73">
      <formula>OR($D19="Ikke relevant")</formula>
    </cfRule>
  </conditionalFormatting>
  <conditionalFormatting sqref="H58:H61">
    <cfRule type="expression" dxfId="643" priority="1">
      <formula>OR($A58&gt;0,)</formula>
    </cfRule>
  </conditionalFormatting>
  <conditionalFormatting sqref="I58:I61">
    <cfRule type="expression" dxfId="642" priority="2">
      <formula>OR($C58&gt;0,)</formula>
    </cfRule>
  </conditionalFormatting>
  <conditionalFormatting sqref="K9:K39">
    <cfRule type="expression" dxfId="641" priority="45">
      <formula>OR($C9="Pæd.dag",)</formula>
    </cfRule>
  </conditionalFormatting>
  <conditionalFormatting sqref="K9:L39">
    <cfRule type="expression" dxfId="640" priority="47">
      <formula>OR($C9="Ekskursion",)</formula>
    </cfRule>
    <cfRule type="expression" dxfId="639" priority="46">
      <formula>OR($C9="Lejrskole",)</formula>
    </cfRule>
  </conditionalFormatting>
  <conditionalFormatting sqref="K9:M39">
    <cfRule type="expression" dxfId="638" priority="44">
      <formula>OR($C9="emnedag",)</formula>
    </cfRule>
    <cfRule type="expression" dxfId="637" priority="43">
      <formula>OR($C9="fagdag",)</formula>
    </cfRule>
  </conditionalFormatting>
  <conditionalFormatting sqref="R9:R39">
    <cfRule type="expression" dxfId="636" priority="74">
      <formula>OR($H9&gt;"0",)</formula>
    </cfRule>
  </conditionalFormatting>
  <conditionalFormatting sqref="V9:V39">
    <cfRule type="expression" dxfId="635" priority="10">
      <formula>OR($S9="X",)</formula>
    </cfRule>
  </conditionalFormatting>
  <conditionalFormatting sqref="V49:X52">
    <cfRule type="expression" dxfId="634" priority="3">
      <formula>OR($M49&gt;0,)</formula>
    </cfRule>
  </conditionalFormatting>
  <conditionalFormatting sqref="W9:W39">
    <cfRule type="expression" dxfId="633" priority="9">
      <formula>OR($T9="X",)</formula>
    </cfRule>
  </conditionalFormatting>
  <conditionalFormatting sqref="X9:X39">
    <cfRule type="expression" dxfId="632" priority="8">
      <formula>OR($U9="X",)</formula>
    </cfRule>
  </conditionalFormatting>
  <dataValidations count="3">
    <dataValidation type="list" allowBlank="1" showInputMessage="1" showErrorMessage="1" sqref="S9:T39 U9:U37 A58:D61" xr:uid="{EFFC1661-37AB-2243-AA06-C616F29CF368}">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9 I14:I15 I21:I22 I28:I29 I35:I36" xr:uid="{F9E3C8A6-48AE-AE4A-84D9-68CE920C5FFF}">
      <formula1>$W$1:$W$2</formula1>
    </dataValidation>
    <dataValidation type="list" allowBlank="1" showInputMessage="1" showErrorMessage="1" promptTitle="OBS:" prompt="Ved arrangementer med overnatning ydes istedet for ulempe- og weekendgodtgørelse på hhv. 25% og 50% faste tillæg pr. påbegyndt dag. " sqref="J9:J39" xr:uid="{EA6878DF-81FA-864D-B82A-981E985E6445}">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E6625806-53BB-7E43-BA78-1A10D5E9B8F4}">
          <x14:formula1>
            <xm:f>August!$A$89:$A$103</xm:f>
          </x14:formula1>
          <xm:sqref>C9:C39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C4DB2-C5D5-C248-B4EF-D7B4F6B3C5D9}">
  <sheetPr>
    <tabColor theme="4" tint="-0.249977111117893"/>
    <pageSetUpPr fitToPage="1"/>
  </sheetPr>
  <dimension ref="A1:DN96"/>
  <sheetViews>
    <sheetView topLeftCell="A7" zoomScale="90" workbookViewId="0">
      <selection activeCell="E34" sqref="E34:G3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8" width="10.83203125" hidden="1" customWidth="1"/>
    <col min="119" max="119"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94"/>
      <c r="Y1"/>
      <c r="Z1" s="94"/>
      <c r="AB1" s="94"/>
      <c r="AC1" s="94"/>
      <c r="AH1" s="94"/>
      <c r="AI1" s="94"/>
      <c r="CX1" s="253"/>
      <c r="CZ1"/>
    </row>
    <row r="2" spans="1:118" ht="20">
      <c r="A2" s="96">
        <v>2</v>
      </c>
      <c r="B2" s="1009"/>
      <c r="C2" s="1009"/>
      <c r="D2" s="1009"/>
      <c r="E2" s="1009"/>
      <c r="F2" s="94"/>
      <c r="G2" s="94"/>
      <c r="H2" s="292"/>
      <c r="I2" s="291"/>
      <c r="J2" s="234"/>
      <c r="K2" s="234"/>
      <c r="L2" s="234"/>
      <c r="M2" s="234"/>
      <c r="N2" s="234"/>
      <c r="O2" s="234"/>
      <c r="P2" s="94"/>
      <c r="Q2" s="94"/>
      <c r="R2" s="94"/>
      <c r="S2" s="94"/>
      <c r="T2" s="94"/>
      <c r="U2" s="94"/>
      <c r="V2" s="94"/>
      <c r="W2" s="127" t="s">
        <v>31</v>
      </c>
      <c r="X2" s="127" t="s">
        <v>31</v>
      </c>
      <c r="Y2"/>
      <c r="Z2" s="94"/>
      <c r="AA2" s="94"/>
      <c r="AE2" s="94"/>
      <c r="AG2" s="94"/>
      <c r="CV2" s="253"/>
      <c r="CW2" s="253"/>
      <c r="CY2"/>
      <c r="CZ2"/>
    </row>
    <row r="3" spans="1:118">
      <c r="A3" s="1022" t="s">
        <v>316</v>
      </c>
      <c r="B3" s="1023"/>
      <c r="C3" s="1023"/>
      <c r="D3" s="1023"/>
      <c r="E3" s="1023"/>
      <c r="F3" s="1023"/>
      <c r="G3" s="1023"/>
      <c r="H3" s="1023"/>
      <c r="I3" s="1023"/>
      <c r="J3" s="1023"/>
      <c r="K3" s="1023"/>
      <c r="L3" s="1023"/>
      <c r="M3" s="1023"/>
      <c r="N3" s="1023"/>
      <c r="O3" s="1023"/>
      <c r="P3" s="1023"/>
      <c r="Q3" s="1023"/>
      <c r="R3" s="1023"/>
      <c r="S3" s="1023"/>
      <c r="T3" s="1023"/>
      <c r="U3" s="1023"/>
      <c r="V3" s="1023"/>
      <c r="W3" s="1023"/>
      <c r="X3" s="1024"/>
      <c r="Y3" s="94"/>
      <c r="Z3"/>
      <c r="AC3" s="94"/>
      <c r="AD3" s="94"/>
      <c r="AF3" s="94"/>
      <c r="CT3" s="253"/>
      <c r="CU3" s="253"/>
      <c r="CY3"/>
      <c r="CZ3"/>
    </row>
    <row r="4" spans="1:118" ht="254" customHeight="1" thickBot="1">
      <c r="A4" s="921" t="s">
        <v>463</v>
      </c>
      <c r="B4" s="922"/>
      <c r="C4" s="922"/>
      <c r="D4" s="922"/>
      <c r="E4" s="923" t="s">
        <v>317</v>
      </c>
      <c r="F4" s="923"/>
      <c r="G4" s="923"/>
      <c r="H4" s="293" t="s">
        <v>442</v>
      </c>
      <c r="I4" s="468" t="s">
        <v>511</v>
      </c>
      <c r="J4" s="468" t="s">
        <v>512</v>
      </c>
      <c r="K4" s="933" t="s">
        <v>579</v>
      </c>
      <c r="L4" s="933"/>
      <c r="M4" s="533" t="s">
        <v>499</v>
      </c>
      <c r="N4" s="533" t="s">
        <v>464</v>
      </c>
      <c r="O4" s="533" t="s">
        <v>465</v>
      </c>
      <c r="P4" s="534" t="s">
        <v>500</v>
      </c>
      <c r="Q4" s="534" t="s">
        <v>315</v>
      </c>
      <c r="R4" s="534" t="s">
        <v>466</v>
      </c>
      <c r="S4" s="535" t="s">
        <v>509</v>
      </c>
      <c r="T4" s="535" t="s">
        <v>467</v>
      </c>
      <c r="U4" s="535" t="s">
        <v>468</v>
      </c>
      <c r="V4" s="536" t="s">
        <v>501</v>
      </c>
      <c r="W4" s="536" t="s">
        <v>427</v>
      </c>
      <c r="X4" s="537" t="s">
        <v>426</v>
      </c>
      <c r="Y4" s="251"/>
      <c r="Z4" s="94"/>
      <c r="AB4" s="94"/>
      <c r="AC4" s="94"/>
      <c r="AH4" s="94"/>
      <c r="AI4" s="94"/>
      <c r="CX4" s="253"/>
      <c r="CZ4"/>
    </row>
    <row r="5" spans="1:118" ht="26" thickBot="1">
      <c r="A5" s="934" t="str">
        <f>""&amp;A7&amp;" måneds kalender for: "&amp;Stamoplysninger!E8&amp;". Måneden vedr. normperioden: "&amp;Stamoplysninger!E11&amp;" - "&amp;Stamoplysninger!G11&amp;"."</f>
        <v>Februar måneds kalender for: . Måneden vedr. normperioden:  - .</v>
      </c>
      <c r="B5" s="935"/>
      <c r="C5" s="935"/>
      <c r="D5" s="935"/>
      <c r="E5" s="935"/>
      <c r="F5" s="935"/>
      <c r="G5" s="935"/>
      <c r="H5" s="935"/>
      <c r="I5" s="935"/>
      <c r="J5" s="935"/>
      <c r="K5" s="935"/>
      <c r="L5" s="935"/>
      <c r="M5" s="935"/>
      <c r="N5" s="935"/>
      <c r="O5" s="935"/>
      <c r="P5" s="935"/>
      <c r="Q5" s="935"/>
      <c r="R5" s="935"/>
      <c r="S5" s="928" t="s">
        <v>424</v>
      </c>
      <c r="T5" s="929"/>
      <c r="U5" s="929"/>
      <c r="V5" s="929"/>
      <c r="W5" s="929"/>
      <c r="X5" s="930"/>
      <c r="Y5" s="251"/>
      <c r="Z5" s="94"/>
      <c r="AB5" s="94"/>
      <c r="AC5" s="94"/>
      <c r="AH5" s="94"/>
      <c r="AI5" s="94"/>
      <c r="CX5" s="253"/>
      <c r="CZ5"/>
    </row>
    <row r="6" spans="1:118" ht="47" customHeight="1">
      <c r="A6" s="346">
        <f>Januar!A6</f>
        <v>2024</v>
      </c>
      <c r="B6" s="246"/>
      <c r="C6" s="247"/>
      <c r="D6" s="248"/>
      <c r="E6" s="941" t="s">
        <v>516</v>
      </c>
      <c r="F6" s="942"/>
      <c r="G6" s="943"/>
      <c r="H6" s="343" t="s">
        <v>344</v>
      </c>
      <c r="I6" s="912" t="s">
        <v>510</v>
      </c>
      <c r="J6" s="939" t="s">
        <v>535</v>
      </c>
      <c r="K6" s="936" t="s">
        <v>309</v>
      </c>
      <c r="L6" s="937"/>
      <c r="M6" s="344" t="s">
        <v>310</v>
      </c>
      <c r="N6" s="912" t="s">
        <v>478</v>
      </c>
      <c r="O6" s="912" t="s">
        <v>314</v>
      </c>
      <c r="P6" s="912" t="s">
        <v>498</v>
      </c>
      <c r="Q6" s="912" t="s">
        <v>413</v>
      </c>
      <c r="R6" s="919" t="s">
        <v>580</v>
      </c>
      <c r="S6" s="913" t="s">
        <v>311</v>
      </c>
      <c r="T6" s="914"/>
      <c r="U6" s="914"/>
      <c r="V6" s="914"/>
      <c r="W6" s="914"/>
      <c r="X6" s="915"/>
      <c r="Y6" s="216"/>
      <c r="Z6" s="216"/>
      <c r="AA6" s="909" t="s">
        <v>264</v>
      </c>
      <c r="AB6" s="909"/>
      <c r="AC6" s="909"/>
      <c r="AD6" s="909"/>
      <c r="AE6" s="909"/>
      <c r="AF6" s="213"/>
      <c r="AG6" s="909" t="s">
        <v>225</v>
      </c>
      <c r="AH6" s="909"/>
      <c r="AI6" s="909"/>
      <c r="AJ6" s="909"/>
      <c r="AK6" s="909"/>
      <c r="AL6" s="909" t="s">
        <v>226</v>
      </c>
      <c r="AM6" s="909"/>
      <c r="AN6" s="909"/>
      <c r="AO6" s="909"/>
      <c r="AP6" s="909"/>
      <c r="AQ6" s="909" t="s">
        <v>227</v>
      </c>
      <c r="AR6" s="909"/>
      <c r="AS6" s="909"/>
      <c r="AT6" s="909"/>
      <c r="AU6" s="909"/>
      <c r="AV6" s="909" t="s">
        <v>228</v>
      </c>
      <c r="AW6" s="909"/>
      <c r="AX6" s="909"/>
      <c r="AY6" s="909"/>
      <c r="AZ6" s="909"/>
      <c r="BA6" s="314"/>
      <c r="BB6" s="213"/>
      <c r="BC6" s="909" t="s">
        <v>267</v>
      </c>
      <c r="BD6" s="909"/>
      <c r="BE6" s="909"/>
      <c r="BF6" s="909"/>
      <c r="BG6" s="909" t="s">
        <v>230</v>
      </c>
      <c r="BH6" s="909"/>
      <c r="BI6" s="909"/>
      <c r="BJ6" s="909"/>
      <c r="BK6" s="909"/>
      <c r="BL6" s="909" t="s">
        <v>231</v>
      </c>
      <c r="BM6" s="909"/>
      <c r="BN6" s="909"/>
      <c r="BO6" s="909"/>
      <c r="BP6" s="909"/>
      <c r="BQ6" s="909" t="s">
        <v>232</v>
      </c>
      <c r="BR6" s="909"/>
      <c r="BS6" s="909"/>
      <c r="BT6" s="909"/>
      <c r="BU6" s="909"/>
      <c r="BV6" s="909" t="s">
        <v>233</v>
      </c>
      <c r="BW6" s="909"/>
      <c r="BX6" s="909"/>
      <c r="BY6" s="909"/>
      <c r="BZ6" s="909"/>
      <c r="CD6" s="909" t="s">
        <v>268</v>
      </c>
      <c r="CE6" s="909"/>
      <c r="CF6" s="909"/>
      <c r="CG6" s="909"/>
      <c r="CH6" s="909"/>
      <c r="CI6" s="909" t="s">
        <v>270</v>
      </c>
      <c r="CJ6" s="909"/>
      <c r="CK6" s="909"/>
      <c r="CL6" s="909"/>
      <c r="CM6" s="909"/>
      <c r="CN6" s="909" t="s">
        <v>269</v>
      </c>
      <c r="CO6" s="909"/>
      <c r="CP6" s="909"/>
      <c r="CQ6" s="909"/>
      <c r="CR6" s="909"/>
      <c r="CS6" s="909" t="s">
        <v>271</v>
      </c>
      <c r="CT6" s="909"/>
      <c r="CU6" s="909"/>
      <c r="CV6" s="909"/>
      <c r="CW6" s="909"/>
      <c r="CX6" s="253"/>
      <c r="CZ6"/>
      <c r="DA6" s="682" t="s">
        <v>215</v>
      </c>
      <c r="DB6" s="682"/>
      <c r="DC6" s="682"/>
      <c r="DD6" s="682"/>
      <c r="DE6" s="682"/>
    </row>
    <row r="7" spans="1:118" ht="155" customHeight="1">
      <c r="A7" s="828" t="s">
        <v>287</v>
      </c>
      <c r="B7" s="829"/>
      <c r="C7" s="829"/>
      <c r="D7" s="830"/>
      <c r="E7" s="944"/>
      <c r="F7" s="945"/>
      <c r="G7" s="946"/>
      <c r="H7" s="910" t="s">
        <v>534</v>
      </c>
      <c r="I7" s="938"/>
      <c r="J7" s="940"/>
      <c r="K7" s="345" t="s">
        <v>581</v>
      </c>
      <c r="L7" s="345" t="s">
        <v>582</v>
      </c>
      <c r="M7" s="345" t="s">
        <v>583</v>
      </c>
      <c r="N7" s="911"/>
      <c r="O7" s="911"/>
      <c r="P7" s="911"/>
      <c r="Q7" s="911"/>
      <c r="R7" s="920"/>
      <c r="S7" s="539" t="s">
        <v>508</v>
      </c>
      <c r="T7" s="344" t="s">
        <v>313</v>
      </c>
      <c r="U7" s="344" t="s">
        <v>428</v>
      </c>
      <c r="V7" s="475" t="s">
        <v>470</v>
      </c>
      <c r="W7" s="475" t="s">
        <v>469</v>
      </c>
      <c r="X7" s="476" t="s">
        <v>425</v>
      </c>
      <c r="Y7" s="216" t="s">
        <v>282</v>
      </c>
      <c r="Z7" s="466" t="s">
        <v>283</v>
      </c>
      <c r="AA7" s="316" t="s">
        <v>214</v>
      </c>
      <c r="AB7" t="s">
        <v>137</v>
      </c>
      <c r="AC7" t="s">
        <v>140</v>
      </c>
      <c r="AD7" t="s">
        <v>139</v>
      </c>
      <c r="AE7" t="s">
        <v>138</v>
      </c>
      <c r="AF7" t="s">
        <v>444</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266</v>
      </c>
      <c r="BD7" t="s">
        <v>265</v>
      </c>
      <c r="BE7" t="s">
        <v>251</v>
      </c>
      <c r="BF7" t="s">
        <v>252</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254</v>
      </c>
      <c r="CC7" s="316" t="s">
        <v>255</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280</v>
      </c>
      <c r="CY7" s="253" t="s">
        <v>272</v>
      </c>
      <c r="CZ7" s="253" t="s">
        <v>273</v>
      </c>
      <c r="DA7" s="253" t="s">
        <v>274</v>
      </c>
      <c r="DB7" s="253" t="s">
        <v>275</v>
      </c>
      <c r="DC7" s="253" t="s">
        <v>276</v>
      </c>
      <c r="DD7" s="253" t="s">
        <v>277</v>
      </c>
      <c r="DE7" s="253" t="s">
        <v>278</v>
      </c>
      <c r="DF7" s="253" t="s">
        <v>279</v>
      </c>
      <c r="DG7" s="253"/>
    </row>
    <row r="8" spans="1:118" ht="20" customHeight="1">
      <c r="A8" s="831"/>
      <c r="B8" s="832"/>
      <c r="C8" s="832"/>
      <c r="D8" s="833"/>
      <c r="E8" s="947"/>
      <c r="F8" s="948"/>
      <c r="G8" s="949"/>
      <c r="H8" s="911"/>
      <c r="I8" s="931" t="s">
        <v>409</v>
      </c>
      <c r="J8" s="918"/>
      <c r="K8" s="931" t="s">
        <v>346</v>
      </c>
      <c r="L8" s="917"/>
      <c r="M8" s="917"/>
      <c r="N8" s="917"/>
      <c r="O8" s="917"/>
      <c r="P8" s="917"/>
      <c r="Q8" s="917"/>
      <c r="R8" s="917"/>
      <c r="S8" s="916" t="s">
        <v>409</v>
      </c>
      <c r="T8" s="917"/>
      <c r="U8" s="918"/>
      <c r="V8" s="998" t="s">
        <v>410</v>
      </c>
      <c r="W8" s="999"/>
      <c r="X8" s="1000"/>
      <c r="Y8" s="216"/>
      <c r="Z8" s="466"/>
      <c r="AA8" s="316"/>
      <c r="BB8" s="232"/>
      <c r="CA8" s="116"/>
      <c r="CB8" s="238"/>
      <c r="CC8" s="316"/>
      <c r="CX8" s="253"/>
      <c r="DA8" s="253"/>
      <c r="DB8" s="253"/>
      <c r="DC8" s="253"/>
      <c r="DD8" s="253"/>
      <c r="DE8" s="253"/>
      <c r="DF8" s="253"/>
      <c r="DG8" s="253"/>
      <c r="DH8" t="s">
        <v>543</v>
      </c>
      <c r="DI8" t="s">
        <v>544</v>
      </c>
      <c r="DJ8" t="s">
        <v>545</v>
      </c>
    </row>
    <row r="9" spans="1:118">
      <c r="A9" s="249">
        <f>IF(ISNUMBER(A7),A7+1,1)</f>
        <v>1</v>
      </c>
      <c r="B9" s="132" t="str">
        <f t="shared" ref="B9:B36" si="0">CHOOSE(MOD(WEEKDAY(DATE(A$6,A$2,A9)),7)+1,"lø","sø","ma","ti","on","to","fr",)</f>
        <v>to</v>
      </c>
      <c r="C9" s="133" t="s">
        <v>209</v>
      </c>
      <c r="D9" s="134" t="str">
        <f t="shared" ref="D9:D36" si="1">IF(B9="ma",(DATE(A$6,A$2,A9)-DATE(A$6,1,1)+7)/7,"")</f>
        <v/>
      </c>
      <c r="E9" s="871"/>
      <c r="F9" s="872"/>
      <c r="G9" s="873"/>
      <c r="H9" s="313"/>
      <c r="I9" s="582"/>
      <c r="J9" s="440"/>
      <c r="K9" s="405"/>
      <c r="L9" s="405"/>
      <c r="M9" s="405"/>
      <c r="N9" s="334">
        <f>BA9</f>
        <v>0</v>
      </c>
      <c r="O9" s="334">
        <f>CA9</f>
        <v>0</v>
      </c>
      <c r="P9" s="334">
        <f>IF(Stamoplysninger!$H$29="JA",Februar!DG9,CX9)</f>
        <v>0</v>
      </c>
      <c r="Q9" s="334">
        <f>IF(OR(C9="Lejrskole",C9="Ekskursion"),0,N9-O9-P9)</f>
        <v>0</v>
      </c>
      <c r="R9" s="335"/>
      <c r="S9" s="341"/>
      <c r="T9" s="342"/>
      <c r="U9" s="342"/>
      <c r="V9" s="462"/>
      <c r="W9" s="336"/>
      <c r="X9" s="469"/>
      <c r="Y9">
        <f>IF($S$9="x",V9-N9,0)</f>
        <v>0</v>
      </c>
      <c r="Z9" s="467">
        <f>W9</f>
        <v>0</v>
      </c>
      <c r="AA9" s="1">
        <f>IF(C9="emnedag",K9,0)</f>
        <v>0</v>
      </c>
      <c r="AB9" s="1">
        <f t="shared" ref="AB9:AB35" si="2">IF(C9="fagdag",K9,0)</f>
        <v>0</v>
      </c>
      <c r="AC9" s="1">
        <f t="shared" ref="AC9:AC35" si="3">IF(C9="Pæd.dag",K9,0)</f>
        <v>0</v>
      </c>
      <c r="AD9" s="1">
        <f t="shared" ref="AD9:AD35" si="4">IF(C9="Ekskursion",K9,0)</f>
        <v>0</v>
      </c>
      <c r="AE9" s="1">
        <f t="shared" ref="AE9:AE35" si="5">IF(C9="Lejrskole",K9,0)</f>
        <v>0</v>
      </c>
      <c r="AF9" s="1">
        <f>IF(C9="Orlov",7.4*Stamoplysninger!$E$15,0)</f>
        <v>0</v>
      </c>
      <c r="AG9" t="str">
        <f>IF(AND(C9="Skema 1",B9="ma"),Arbejdstidsoversigt!$E$44,"")</f>
        <v/>
      </c>
      <c r="AH9" t="str">
        <f>IF(AND(C9="Skema 1",B9="ti"),Arbejdstidsoversigt!$E$45,"")</f>
        <v/>
      </c>
      <c r="AI9" t="str">
        <f>IF(AND(C9="Skema 1",B9="on"),Arbejdstidsoversigt!$E$46,"")</f>
        <v/>
      </c>
      <c r="AJ9">
        <f>IF(AND(C9="Skema 1",B9="to"),Arbejdstidsoversigt!$E$47,"")</f>
        <v>0</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4" si="6">SUM(AG9:AK9)*24</f>
        <v>0</v>
      </c>
      <c r="BC9" s="1">
        <f>IF($C$9="Lejrskole",$L$9,0)</f>
        <v>0</v>
      </c>
      <c r="BD9" s="1">
        <f t="shared" ref="BD9:BD34" si="7">IF(C9="Ekskursion",L9,0)</f>
        <v>0</v>
      </c>
      <c r="BE9" s="1">
        <f t="shared" ref="BE9:BE34" si="8">IF(C9="fagdag",L9,0)</f>
        <v>0</v>
      </c>
      <c r="BF9" s="1">
        <f t="shared" ref="BF9:BF34" si="9">IF(C9="emnedag",L9,0)</f>
        <v>0</v>
      </c>
      <c r="BG9" s="214" t="str">
        <f>IF(AND($C$9="Skema 1",$B$9="ma"),Skemaoplysninger!E30,"")</f>
        <v/>
      </c>
      <c r="BH9" s="214" t="str">
        <f>IF(AND(C9="Skema 1",B9="ti"),Skemaoplysninger!$F$30,"")</f>
        <v/>
      </c>
      <c r="BI9" s="214" t="str">
        <f>IF(AND(C9="Skema 1",B9="on"),Skemaoplysninger!$G$30,"")</f>
        <v/>
      </c>
      <c r="BJ9" s="214">
        <f>IF(AND(C9="Skema 1",B9="to"),Skemaoplysninger!$H$30,"")</f>
        <v>0</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4" si="10">IF(C9="fagdag",M9,0)</f>
        <v>0</v>
      </c>
      <c r="CC9" s="1">
        <f t="shared" ref="CC9:CC34" si="11">IF(C9="emnedag",M9,0)</f>
        <v>0</v>
      </c>
      <c r="CD9" s="214" t="str">
        <f>IF(AND(C9="Skema 1",B9="ma"),Skemaoplysninger!$E$39,"")</f>
        <v/>
      </c>
      <c r="CE9" s="214" t="str">
        <f>IF(AND(C9="Skema 1",B9="ti"),Skemaoplysninger!$F$39,"")</f>
        <v/>
      </c>
      <c r="CF9" s="214" t="str">
        <f>IF(AND(C9="Skema 1",B9="on"),Skemaoplysninger!$G$39,"")</f>
        <v/>
      </c>
      <c r="CG9" s="214">
        <f>IF(AND(C9="Skema 1",B9="to"),Skemaoplysninger!$H$39,"")</f>
        <v>0</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5" si="12">IF(DH9=0,"",DH9)</f>
        <v/>
      </c>
      <c r="DL9" t="str">
        <f>IF(DI9=0,"",DI9)</f>
        <v/>
      </c>
      <c r="DM9" t="str">
        <f>IF(DJ9=0,"",DJ9)</f>
        <v/>
      </c>
      <c r="DN9" t="str">
        <f>DK9&amp;""&amp;DL9&amp;""&amp;DM9</f>
        <v/>
      </c>
    </row>
    <row r="10" spans="1:118">
      <c r="A10" s="249">
        <f t="shared" ref="A10:A37" si="13">IF(ISNUMBER(A9),A9+1,1)</f>
        <v>2</v>
      </c>
      <c r="B10" s="132" t="str">
        <f t="shared" si="0"/>
        <v>fr</v>
      </c>
      <c r="C10" s="133" t="s">
        <v>209</v>
      </c>
      <c r="D10" s="134" t="str">
        <f t="shared" si="1"/>
        <v/>
      </c>
      <c r="E10" s="871"/>
      <c r="F10" s="872"/>
      <c r="G10" s="873"/>
      <c r="H10" s="313"/>
      <c r="I10" s="582"/>
      <c r="J10" s="440"/>
      <c r="K10" s="405"/>
      <c r="L10" s="405"/>
      <c r="M10" s="405"/>
      <c r="N10" s="334">
        <f t="shared" ref="N10:N36" si="14">BA10</f>
        <v>0</v>
      </c>
      <c r="O10" s="334">
        <f t="shared" ref="O10:O36" si="15">CA10</f>
        <v>0</v>
      </c>
      <c r="P10" s="334">
        <f>IF(Stamoplysninger!$H$29="JA",Februar!DG10,CX10)</f>
        <v>0</v>
      </c>
      <c r="Q10" s="334">
        <f t="shared" ref="Q10:Q36" si="16">IF(OR(C10="Lejrskole",C10="Ekskursion"),0,N10-O10-P10)</f>
        <v>0</v>
      </c>
      <c r="R10" s="335"/>
      <c r="S10" s="341"/>
      <c r="T10" s="342"/>
      <c r="U10" s="342"/>
      <c r="V10" s="462"/>
      <c r="W10" s="336"/>
      <c r="X10" s="469"/>
      <c r="Y10">
        <f t="shared" ref="Y10:Y37" si="17">IF(S10="x",V10-N10,0)</f>
        <v>0</v>
      </c>
      <c r="Z10" s="467">
        <f t="shared" ref="Z10:Z35" si="18">W10</f>
        <v>0</v>
      </c>
      <c r="AA10" s="1">
        <f t="shared" ref="AA10:AA35" si="19">IF(C10="emnedag",K10,0)</f>
        <v>0</v>
      </c>
      <c r="AB10" s="1">
        <f t="shared" si="2"/>
        <v>0</v>
      </c>
      <c r="AC10" s="1">
        <f t="shared" si="3"/>
        <v>0</v>
      </c>
      <c r="AD10" s="1">
        <f t="shared" si="4"/>
        <v>0</v>
      </c>
      <c r="AE10" s="1">
        <f t="shared" si="5"/>
        <v>0</v>
      </c>
      <c r="AF10" s="1">
        <f>IF(C10="Orlov",7.4*Stamoplysninger!$E$15,0)</f>
        <v>0</v>
      </c>
      <c r="AG10" t="str">
        <f>IF(AND(C10="Skema 1",B10="ma"),Arbejdstidsoversigt!$E$44,"")</f>
        <v/>
      </c>
      <c r="AH10" t="str">
        <f>IF(AND(C10="Skema 1",B10="ti"),Arbejdstidsoversigt!$E$45,"")</f>
        <v/>
      </c>
      <c r="AI10" t="str">
        <f>IF(AND(C10="Skema 1",B10="on"),Arbejdstidsoversigt!$E$46,"")</f>
        <v/>
      </c>
      <c r="AJ10" t="str">
        <f>IF(AND(C10="Skema 1",B10="to"),Arbejdstidsoversigt!$E$47,"")</f>
        <v/>
      </c>
      <c r="AK10">
        <f>IF(AND(C10="Skema 1",B10="fr"),Arbejdstidsoversigt!$E$48,"")</f>
        <v>0</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4" si="20">SUM(AA10:AZ10)</f>
        <v>0</v>
      </c>
      <c r="BB10" s="233">
        <f t="shared" si="6"/>
        <v>0</v>
      </c>
      <c r="BC10" s="1">
        <f t="shared" ref="BC10:BC34" si="21">IF(C10="Lejrskole",L10,0)</f>
        <v>0</v>
      </c>
      <c r="BD10" s="1">
        <f t="shared" si="7"/>
        <v>0</v>
      </c>
      <c r="BE10" s="1">
        <f t="shared" si="8"/>
        <v>0</v>
      </c>
      <c r="BF10" s="1">
        <f t="shared" si="9"/>
        <v>0</v>
      </c>
      <c r="BG10" s="214" t="str">
        <f>IF(AND(C10="Skema 1",B10="ma"),Skemaoplysninger!$E$30,"")</f>
        <v/>
      </c>
      <c r="BH10" s="214" t="str">
        <f>IF(AND(C10="Skema 1",B10="ti"),Skemaoplysninger!$F$30,"")</f>
        <v/>
      </c>
      <c r="BI10" s="214" t="str">
        <f>IF(AND(C10="Skema 1",B10="on"),Skemaoplysninger!$G$30,"")</f>
        <v/>
      </c>
      <c r="BJ10" s="214" t="str">
        <f>IF(AND(C10="Skema 1",B10="to"),Skemaoplysninger!$H$30,"")</f>
        <v/>
      </c>
      <c r="BK10" s="214">
        <f>IF(AND(C10="Skema 1",B10="fr"),Skemaoplysninger!$I$30,"")</f>
        <v>0</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4" si="22">SUM(BG10:BZ10)*24+SUM(BC10:BF10)</f>
        <v>0</v>
      </c>
      <c r="CB10" s="1">
        <f t="shared" si="10"/>
        <v>0</v>
      </c>
      <c r="CC10" s="1">
        <f t="shared" si="11"/>
        <v>0</v>
      </c>
      <c r="CD10" s="214" t="str">
        <f>IF(AND(C10="Skema 1",B10="ma"),Skemaoplysninger!$E$39,"")</f>
        <v/>
      </c>
      <c r="CE10" s="214" t="str">
        <f>IF(AND(C10="Skema 1",B10="ti"),Skemaoplysninger!$F$39,"")</f>
        <v/>
      </c>
      <c r="CF10" s="214" t="str">
        <f>IF(AND(C10="Skema 1",B10="on"),Skemaoplysninger!$G$39,"")</f>
        <v/>
      </c>
      <c r="CG10" s="214" t="str">
        <f>IF(AND(C10="Skema 1",B10="to"),Skemaoplysninger!$H$39,"")</f>
        <v/>
      </c>
      <c r="CH10" s="214">
        <f>IF(AND(C10="Skema 1",B10="fr"),Skemaoplysninger!$I$39,"")</f>
        <v>0</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4" si="23">SUM(CY10:DF10)</f>
        <v>0</v>
      </c>
      <c r="DH10" t="str">
        <f t="shared" ref="DH10:DH39" si="24">IF(AND(E10&gt;0,H10&gt;0),""&amp;E10&amp;" og "&amp;H10&amp;"","")</f>
        <v/>
      </c>
      <c r="DI10">
        <f t="shared" ref="DI10:DI35" si="25">IF(H10="",E10,"")</f>
        <v>0</v>
      </c>
      <c r="DJ10">
        <f t="shared" ref="DJ10:DJ35" si="26">IF(E10="",H10,"")</f>
        <v>0</v>
      </c>
      <c r="DK10" t="str">
        <f t="shared" si="12"/>
        <v/>
      </c>
      <c r="DL10" t="str">
        <f t="shared" si="12"/>
        <v/>
      </c>
      <c r="DM10" t="str">
        <f t="shared" si="12"/>
        <v/>
      </c>
      <c r="DN10" t="str">
        <f t="shared" ref="DN10:DN39" si="27">DK10&amp;""&amp;DL10&amp;""&amp;DM10</f>
        <v/>
      </c>
    </row>
    <row r="11" spans="1:118">
      <c r="A11" s="249">
        <f t="shared" si="13"/>
        <v>3</v>
      </c>
      <c r="B11" s="132" t="str">
        <f t="shared" si="0"/>
        <v>lø</v>
      </c>
      <c r="C11" s="133" t="s">
        <v>121</v>
      </c>
      <c r="D11" s="134" t="str">
        <f t="shared" si="1"/>
        <v/>
      </c>
      <c r="E11" s="871"/>
      <c r="F11" s="872"/>
      <c r="G11" s="873"/>
      <c r="H11" s="313"/>
      <c r="I11" s="440"/>
      <c r="J11" s="440"/>
      <c r="K11" s="405"/>
      <c r="L11" s="405"/>
      <c r="M11" s="405"/>
      <c r="N11" s="334">
        <f t="shared" si="14"/>
        <v>0</v>
      </c>
      <c r="O11" s="334">
        <f t="shared" si="15"/>
        <v>0</v>
      </c>
      <c r="P11" s="334">
        <f>IF(Stamoplysninger!$H$29="JA",Februar!DG11,CX11)</f>
        <v>0</v>
      </c>
      <c r="Q11" s="334">
        <f t="shared" si="16"/>
        <v>0</v>
      </c>
      <c r="R11" s="335"/>
      <c r="S11" s="341"/>
      <c r="T11" s="342"/>
      <c r="U11" s="342"/>
      <c r="V11" s="462"/>
      <c r="W11" s="336"/>
      <c r="X11" s="469"/>
      <c r="Y11">
        <f t="shared" si="17"/>
        <v>0</v>
      </c>
      <c r="Z11" s="467">
        <f t="shared" si="18"/>
        <v>0</v>
      </c>
      <c r="AA11" s="1">
        <f t="shared" si="19"/>
        <v>0</v>
      </c>
      <c r="AB11" s="1">
        <f t="shared" si="2"/>
        <v>0</v>
      </c>
      <c r="AC11" s="1">
        <f t="shared" si="3"/>
        <v>0</v>
      </c>
      <c r="AD11" s="1">
        <f t="shared" si="4"/>
        <v>0</v>
      </c>
      <c r="AE11" s="1">
        <f t="shared" si="5"/>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6"/>
        <v>0</v>
      </c>
      <c r="BC11" s="1">
        <f t="shared" si="21"/>
        <v>0</v>
      </c>
      <c r="BD11" s="1">
        <f t="shared" si="7"/>
        <v>0</v>
      </c>
      <c r="BE11" s="1">
        <f t="shared" si="8"/>
        <v>0</v>
      </c>
      <c r="BF11" s="1">
        <f t="shared" si="9"/>
        <v>0</v>
      </c>
      <c r="BG11" s="214" t="str">
        <f>IF(AND(C11="Skema 1",B11="ma"),Skemaoplysninger!$E$30,"")</f>
        <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0"/>
        <v>0</v>
      </c>
      <c r="CC11" s="1">
        <f t="shared" si="11"/>
        <v>0</v>
      </c>
      <c r="CD11" s="214" t="str">
        <f>IF(AND(C11="Skema 1",B11="ma"),Skemaoplysninger!$E$39,"")</f>
        <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2"/>
        <v/>
      </c>
      <c r="DL11" t="str">
        <f t="shared" si="12"/>
        <v/>
      </c>
      <c r="DM11" t="str">
        <f t="shared" si="12"/>
        <v/>
      </c>
      <c r="DN11" t="str">
        <f t="shared" si="27"/>
        <v/>
      </c>
    </row>
    <row r="12" spans="1:118">
      <c r="A12" s="249">
        <f t="shared" si="13"/>
        <v>4</v>
      </c>
      <c r="B12" s="132" t="str">
        <f t="shared" si="0"/>
        <v>sø</v>
      </c>
      <c r="C12" s="133" t="s">
        <v>121</v>
      </c>
      <c r="D12" s="134" t="str">
        <f t="shared" si="1"/>
        <v/>
      </c>
      <c r="E12" s="871"/>
      <c r="F12" s="872"/>
      <c r="G12" s="873"/>
      <c r="H12" s="313"/>
      <c r="I12" s="440"/>
      <c r="J12" s="440"/>
      <c r="K12" s="405"/>
      <c r="L12" s="405"/>
      <c r="M12" s="405"/>
      <c r="N12" s="334">
        <f t="shared" si="14"/>
        <v>0</v>
      </c>
      <c r="O12" s="334">
        <f t="shared" si="15"/>
        <v>0</v>
      </c>
      <c r="P12" s="334">
        <f>IF(Stamoplysninger!$H$29="JA",Februar!DG12,CX12)</f>
        <v>0</v>
      </c>
      <c r="Q12" s="334">
        <f t="shared" si="16"/>
        <v>0</v>
      </c>
      <c r="R12" s="335"/>
      <c r="S12" s="341"/>
      <c r="T12" s="342"/>
      <c r="U12" s="342"/>
      <c r="V12" s="462"/>
      <c r="W12" s="336"/>
      <c r="X12" s="469"/>
      <c r="Y12">
        <f t="shared" si="17"/>
        <v>0</v>
      </c>
      <c r="Z12" s="467">
        <f t="shared" si="18"/>
        <v>0</v>
      </c>
      <c r="AA12" s="1">
        <f t="shared" si="19"/>
        <v>0</v>
      </c>
      <c r="AB12" s="1">
        <f t="shared" si="2"/>
        <v>0</v>
      </c>
      <c r="AC12" s="1">
        <f t="shared" si="3"/>
        <v>0</v>
      </c>
      <c r="AD12" s="1">
        <f t="shared" si="4"/>
        <v>0</v>
      </c>
      <c r="AE12" s="1">
        <f t="shared" si="5"/>
        <v>0</v>
      </c>
      <c r="AF12" s="1">
        <f>IF(C12="Orlov",7.4*Stamoplysninger!$E$15,0)</f>
        <v>0</v>
      </c>
      <c r="AG12" t="str">
        <f>IF(AND(C12="Skema 1",B12="ma"),Arbejdstidsoversigt!$E$44,"")</f>
        <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6"/>
        <v>0</v>
      </c>
      <c r="BC12" s="1">
        <f t="shared" si="21"/>
        <v>0</v>
      </c>
      <c r="BD12" s="1">
        <f t="shared" si="7"/>
        <v>0</v>
      </c>
      <c r="BE12" s="1">
        <f t="shared" si="8"/>
        <v>0</v>
      </c>
      <c r="BF12" s="1">
        <f t="shared" si="9"/>
        <v>0</v>
      </c>
      <c r="BG12" s="214" t="str">
        <f>IF(AND(C12="Skema 1",B12="ma"),Skemaoplysninger!$E$30,"")</f>
        <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0"/>
        <v>0</v>
      </c>
      <c r="CC12" s="1">
        <f t="shared" si="11"/>
        <v>0</v>
      </c>
      <c r="CD12" s="214" t="str">
        <f>IF(AND(C12="Skema 1",B12="ma"),Skemaoplysninger!$E$39,"")</f>
        <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2"/>
        <v/>
      </c>
      <c r="DL12" t="str">
        <f t="shared" si="12"/>
        <v/>
      </c>
      <c r="DM12" t="str">
        <f t="shared" si="12"/>
        <v/>
      </c>
      <c r="DN12" t="str">
        <f t="shared" si="27"/>
        <v/>
      </c>
    </row>
    <row r="13" spans="1:118">
      <c r="A13" s="249">
        <f t="shared" si="13"/>
        <v>5</v>
      </c>
      <c r="B13" s="132" t="str">
        <f t="shared" si="0"/>
        <v>ma</v>
      </c>
      <c r="C13" s="133" t="s">
        <v>209</v>
      </c>
      <c r="D13" s="134">
        <f t="shared" si="1"/>
        <v>6</v>
      </c>
      <c r="E13" s="871"/>
      <c r="F13" s="872"/>
      <c r="G13" s="873"/>
      <c r="H13" s="313"/>
      <c r="I13" s="582"/>
      <c r="J13" s="440"/>
      <c r="K13" s="405"/>
      <c r="L13" s="405"/>
      <c r="M13" s="405"/>
      <c r="N13" s="334">
        <f t="shared" si="14"/>
        <v>0</v>
      </c>
      <c r="O13" s="334">
        <f t="shared" si="15"/>
        <v>0</v>
      </c>
      <c r="P13" s="334">
        <f>IF(Stamoplysninger!$H$29="JA",Februar!DG13,CX13)</f>
        <v>0</v>
      </c>
      <c r="Q13" s="334">
        <f t="shared" si="16"/>
        <v>0</v>
      </c>
      <c r="R13" s="335"/>
      <c r="S13" s="341"/>
      <c r="T13" s="342"/>
      <c r="U13" s="342"/>
      <c r="V13" s="462"/>
      <c r="W13" s="336"/>
      <c r="X13" s="469"/>
      <c r="Y13">
        <f t="shared" si="17"/>
        <v>0</v>
      </c>
      <c r="Z13" s="467">
        <f t="shared" si="18"/>
        <v>0</v>
      </c>
      <c r="AA13" s="1">
        <f t="shared" si="19"/>
        <v>0</v>
      </c>
      <c r="AB13" s="1">
        <f t="shared" si="2"/>
        <v>0</v>
      </c>
      <c r="AC13" s="1">
        <f t="shared" si="3"/>
        <v>0</v>
      </c>
      <c r="AD13" s="1">
        <f t="shared" si="4"/>
        <v>0</v>
      </c>
      <c r="AE13" s="1">
        <f t="shared" si="5"/>
        <v>0</v>
      </c>
      <c r="AF13" s="1">
        <f>IF(C13="Orlov",7.4*Stamoplysninger!$E$15,0)</f>
        <v>0</v>
      </c>
      <c r="AG13">
        <f>IF(AND(C13="Skema 1",B13="ma"),Arbejdstidsoversigt!$E$44,"")</f>
        <v>0</v>
      </c>
      <c r="AH13" t="str">
        <f>IF(AND(C13="Skema 1",B13="ti"),Arbejdstidsoversigt!$E$45,"")</f>
        <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0</v>
      </c>
      <c r="BB13" s="233">
        <f t="shared" si="6"/>
        <v>0</v>
      </c>
      <c r="BC13" s="1">
        <f t="shared" si="21"/>
        <v>0</v>
      </c>
      <c r="BD13" s="1">
        <f t="shared" si="7"/>
        <v>0</v>
      </c>
      <c r="BE13" s="1">
        <f t="shared" si="8"/>
        <v>0</v>
      </c>
      <c r="BF13" s="1">
        <f t="shared" si="9"/>
        <v>0</v>
      </c>
      <c r="BG13" s="214">
        <f>IF(AND(C13="Skema 1",B13="ma"),Skemaoplysninger!$E$30,"")</f>
        <v>0</v>
      </c>
      <c r="BH13" s="214" t="str">
        <f>IF(AND(C13="Skema 1",B13="ti"),Skemaoplysninger!$F$30,"")</f>
        <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0"/>
        <v>0</v>
      </c>
      <c r="CC13" s="1">
        <f t="shared" si="11"/>
        <v>0</v>
      </c>
      <c r="CD13" s="214">
        <f>IF(AND(C13="Skema 1",B13="ma"),Skemaoplysninger!$E$39,"")</f>
        <v>0</v>
      </c>
      <c r="CE13" s="214" t="str">
        <f>IF(AND(C13="Skema 1",B13="ti"),Skemaoplysninger!$F$39,"")</f>
        <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2"/>
        <v/>
      </c>
      <c r="DL13" t="str">
        <f t="shared" si="12"/>
        <v/>
      </c>
      <c r="DM13" t="str">
        <f t="shared" si="12"/>
        <v/>
      </c>
      <c r="DN13" t="str">
        <f t="shared" si="27"/>
        <v/>
      </c>
    </row>
    <row r="14" spans="1:118" ht="16" customHeight="1">
      <c r="A14" s="249">
        <f t="shared" si="13"/>
        <v>6</v>
      </c>
      <c r="B14" s="132" t="str">
        <f t="shared" si="0"/>
        <v>ti</v>
      </c>
      <c r="C14" s="133" t="s">
        <v>209</v>
      </c>
      <c r="D14" s="134" t="str">
        <f t="shared" si="1"/>
        <v/>
      </c>
      <c r="E14" s="871"/>
      <c r="F14" s="872"/>
      <c r="G14" s="873"/>
      <c r="H14" s="313"/>
      <c r="I14" s="582"/>
      <c r="J14" s="440"/>
      <c r="K14" s="405"/>
      <c r="L14" s="405"/>
      <c r="M14" s="405"/>
      <c r="N14" s="334">
        <f t="shared" si="14"/>
        <v>0</v>
      </c>
      <c r="O14" s="334">
        <f t="shared" si="15"/>
        <v>0</v>
      </c>
      <c r="P14" s="334">
        <f>IF(Stamoplysninger!$H$29="JA",Februar!DG14,CX14)</f>
        <v>0</v>
      </c>
      <c r="Q14" s="334">
        <f t="shared" si="16"/>
        <v>0</v>
      </c>
      <c r="R14" s="335"/>
      <c r="S14" s="341"/>
      <c r="T14" s="342"/>
      <c r="U14" s="342"/>
      <c r="V14" s="462"/>
      <c r="W14" s="336"/>
      <c r="X14" s="469"/>
      <c r="Y14">
        <f t="shared" si="17"/>
        <v>0</v>
      </c>
      <c r="Z14" s="467">
        <f t="shared" si="18"/>
        <v>0</v>
      </c>
      <c r="AA14" s="1">
        <f t="shared" si="19"/>
        <v>0</v>
      </c>
      <c r="AB14" s="1">
        <f t="shared" si="2"/>
        <v>0</v>
      </c>
      <c r="AC14" s="1">
        <f t="shared" si="3"/>
        <v>0</v>
      </c>
      <c r="AD14" s="1">
        <f t="shared" si="4"/>
        <v>0</v>
      </c>
      <c r="AE14" s="1">
        <f t="shared" si="5"/>
        <v>0</v>
      </c>
      <c r="AF14" s="1">
        <f>IF(C14="Orlov",7.4*Stamoplysninger!$E$15,0)</f>
        <v>0</v>
      </c>
      <c r="AG14" t="str">
        <f>IF(AND(C14="Skema 1",B14="ma"),Arbejdstidsoversigt!$E$44,"")</f>
        <v/>
      </c>
      <c r="AH14">
        <f>IF(AND(C14="Skema 1",B14="ti"),Arbejdstidsoversigt!$E$45,"")</f>
        <v>0</v>
      </c>
      <c r="AI14" t="str">
        <f>IF(AND(C14="Skema 1",B14="on"),Arbejdstidsoversigt!$E$46,"")</f>
        <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0</v>
      </c>
      <c r="BB14" s="233">
        <f t="shared" si="6"/>
        <v>0</v>
      </c>
      <c r="BC14" s="1">
        <f t="shared" si="21"/>
        <v>0</v>
      </c>
      <c r="BD14" s="1">
        <f t="shared" si="7"/>
        <v>0</v>
      </c>
      <c r="BE14" s="1">
        <f t="shared" si="8"/>
        <v>0</v>
      </c>
      <c r="BF14" s="1">
        <f t="shared" si="9"/>
        <v>0</v>
      </c>
      <c r="BG14" s="214" t="str">
        <f>IF(AND(C14="Skema 1",B14="ma"),Skemaoplysninger!$E$30,"")</f>
        <v/>
      </c>
      <c r="BH14" s="214">
        <f>IF(AND(C14="Skema 1",B14="ti"),Skemaoplysninger!$F$30,"")</f>
        <v>0</v>
      </c>
      <c r="BI14" s="214" t="str">
        <f>IF(AND(C14="Skema 1",B14="on"),Skemaoplysninger!$G$30,"")</f>
        <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0"/>
        <v>0</v>
      </c>
      <c r="CC14" s="1">
        <f t="shared" si="11"/>
        <v>0</v>
      </c>
      <c r="CD14" s="214" t="str">
        <f>IF(AND(C14="Skema 1",B14="ma"),Skemaoplysninger!$E$39,"")</f>
        <v/>
      </c>
      <c r="CE14" s="214">
        <f>IF(AND(C14="Skema 1",B14="ti"),Skemaoplysninger!$F$39,"")</f>
        <v>0</v>
      </c>
      <c r="CF14" s="214" t="str">
        <f>IF(AND(C14="Skema 1",B14="on"),Skemaoplysninger!$G$39,"")</f>
        <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2"/>
        <v/>
      </c>
      <c r="DL14" t="str">
        <f t="shared" si="12"/>
        <v/>
      </c>
      <c r="DM14" t="str">
        <f t="shared" si="12"/>
        <v/>
      </c>
      <c r="DN14" t="str">
        <f t="shared" si="27"/>
        <v/>
      </c>
    </row>
    <row r="15" spans="1:118" ht="16" customHeight="1">
      <c r="A15" s="249">
        <f t="shared" si="13"/>
        <v>7</v>
      </c>
      <c r="B15" s="132" t="str">
        <f t="shared" si="0"/>
        <v>on</v>
      </c>
      <c r="C15" s="133" t="s">
        <v>209</v>
      </c>
      <c r="D15" s="134" t="str">
        <f t="shared" si="1"/>
        <v/>
      </c>
      <c r="E15" s="871"/>
      <c r="F15" s="872"/>
      <c r="G15" s="873"/>
      <c r="H15" s="313"/>
      <c r="I15" s="582"/>
      <c r="J15" s="440"/>
      <c r="K15" s="405"/>
      <c r="L15" s="405"/>
      <c r="M15" s="405"/>
      <c r="N15" s="334">
        <f t="shared" si="14"/>
        <v>0</v>
      </c>
      <c r="O15" s="334">
        <f t="shared" si="15"/>
        <v>0</v>
      </c>
      <c r="P15" s="334">
        <f>IF(Stamoplysninger!$H$29="JA",Februar!DG15,CX15)</f>
        <v>0</v>
      </c>
      <c r="Q15" s="334">
        <f t="shared" si="16"/>
        <v>0</v>
      </c>
      <c r="R15" s="335"/>
      <c r="S15" s="341"/>
      <c r="T15" s="342"/>
      <c r="U15" s="342"/>
      <c r="V15" s="462"/>
      <c r="W15" s="336"/>
      <c r="X15" s="469"/>
      <c r="Y15">
        <f t="shared" si="17"/>
        <v>0</v>
      </c>
      <c r="Z15" s="467">
        <f t="shared" si="18"/>
        <v>0</v>
      </c>
      <c r="AA15" s="1">
        <f t="shared" si="19"/>
        <v>0</v>
      </c>
      <c r="AB15" s="1">
        <f t="shared" si="2"/>
        <v>0</v>
      </c>
      <c r="AC15" s="1">
        <f t="shared" si="3"/>
        <v>0</v>
      </c>
      <c r="AD15" s="1">
        <f t="shared" si="4"/>
        <v>0</v>
      </c>
      <c r="AE15" s="1">
        <f t="shared" si="5"/>
        <v>0</v>
      </c>
      <c r="AF15" s="1">
        <f>IF(C15="Orlov",7.4*Stamoplysninger!$E$15,0)</f>
        <v>0</v>
      </c>
      <c r="AG15" t="str">
        <f>IF(AND(C15="Skema 1",B15="ma"),Arbejdstidsoversigt!$E$44,"")</f>
        <v/>
      </c>
      <c r="AH15" t="str">
        <f>IF(AND(C15="Skema 1",B15="ti"),Arbejdstidsoversigt!$E$45,"")</f>
        <v/>
      </c>
      <c r="AI15">
        <f>IF(AND(C15="Skema 1",B15="on"),Arbejdstidsoversigt!$E$46,"")</f>
        <v>0</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6"/>
        <v>0</v>
      </c>
      <c r="BC15" s="1">
        <f t="shared" si="21"/>
        <v>0</v>
      </c>
      <c r="BD15" s="1">
        <f t="shared" si="7"/>
        <v>0</v>
      </c>
      <c r="BE15" s="1">
        <f t="shared" si="8"/>
        <v>0</v>
      </c>
      <c r="BF15" s="1">
        <f t="shared" si="9"/>
        <v>0</v>
      </c>
      <c r="BG15" s="214" t="str">
        <f>IF(AND(C15="Skema 1",B15="ma"),Skemaoplysninger!$E$30,"")</f>
        <v/>
      </c>
      <c r="BH15" s="214" t="str">
        <f>IF(AND(C15="Skema 1",B15="ti"),Skemaoplysninger!$F$30,"")</f>
        <v/>
      </c>
      <c r="BI15" s="214">
        <f>IF(AND(C15="Skema 1",B15="on"),Skemaoplysninger!$G$30,"")</f>
        <v>0</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0"/>
        <v>0</v>
      </c>
      <c r="CC15" s="1">
        <f t="shared" si="11"/>
        <v>0</v>
      </c>
      <c r="CD15" s="214" t="str">
        <f>IF(AND(C15="Skema 1",B15="ma"),Skemaoplysninger!$E$39,"")</f>
        <v/>
      </c>
      <c r="CE15" s="214" t="str">
        <f>IF(AND(C15="Skema 1",B15="ti"),Skemaoplysninger!$F$39,"")</f>
        <v/>
      </c>
      <c r="CF15" s="214">
        <f>IF(AND(C15="Skema 1",B15="on"),Skemaoplysninger!$G$39,"")</f>
        <v>0</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2"/>
        <v/>
      </c>
      <c r="DL15" t="str">
        <f t="shared" si="12"/>
        <v/>
      </c>
      <c r="DM15" t="str">
        <f t="shared" si="12"/>
        <v/>
      </c>
      <c r="DN15" t="str">
        <f t="shared" si="27"/>
        <v/>
      </c>
    </row>
    <row r="16" spans="1:118">
      <c r="A16" s="249">
        <f t="shared" si="13"/>
        <v>8</v>
      </c>
      <c r="B16" s="132" t="str">
        <f t="shared" si="0"/>
        <v>to</v>
      </c>
      <c r="C16" s="133" t="s">
        <v>209</v>
      </c>
      <c r="D16" s="134" t="str">
        <f t="shared" si="1"/>
        <v/>
      </c>
      <c r="E16" s="871"/>
      <c r="F16" s="872"/>
      <c r="G16" s="873"/>
      <c r="H16" s="313"/>
      <c r="I16" s="582"/>
      <c r="J16" s="440"/>
      <c r="K16" s="405"/>
      <c r="L16" s="405"/>
      <c r="M16" s="405"/>
      <c r="N16" s="334">
        <f t="shared" si="14"/>
        <v>0</v>
      </c>
      <c r="O16" s="334">
        <f t="shared" si="15"/>
        <v>0</v>
      </c>
      <c r="P16" s="334">
        <f>IF(Stamoplysninger!$H$29="JA",Februar!DG16,CX16)</f>
        <v>0</v>
      </c>
      <c r="Q16" s="334">
        <f t="shared" si="16"/>
        <v>0</v>
      </c>
      <c r="R16" s="335"/>
      <c r="S16" s="341"/>
      <c r="T16" s="342"/>
      <c r="U16" s="342"/>
      <c r="V16" s="462"/>
      <c r="W16" s="336"/>
      <c r="X16" s="469"/>
      <c r="Y16">
        <f t="shared" si="17"/>
        <v>0</v>
      </c>
      <c r="Z16" s="467">
        <f t="shared" si="18"/>
        <v>0</v>
      </c>
      <c r="AA16" s="1">
        <f t="shared" si="19"/>
        <v>0</v>
      </c>
      <c r="AB16" s="1">
        <f t="shared" si="2"/>
        <v>0</v>
      </c>
      <c r="AC16" s="1">
        <f t="shared" si="3"/>
        <v>0</v>
      </c>
      <c r="AD16" s="1">
        <f t="shared" si="4"/>
        <v>0</v>
      </c>
      <c r="AE16" s="1">
        <f t="shared" si="5"/>
        <v>0</v>
      </c>
      <c r="AF16" s="1">
        <f>IF(C16="Orlov",7.4*Stamoplysninger!$E$15,0)</f>
        <v>0</v>
      </c>
      <c r="AG16" t="str">
        <f>IF(AND(C16="Skema 1",B16="ma"),Arbejdstidsoversigt!$E$44,"")</f>
        <v/>
      </c>
      <c r="AH16" t="str">
        <f>IF(AND(C16="Skema 1",B16="ti"),Arbejdstidsoversigt!$E$45,"")</f>
        <v/>
      </c>
      <c r="AI16" t="str">
        <f>IF(AND(C16="Skema 1",B16="on"),Arbejdstidsoversigt!$E$46,"")</f>
        <v/>
      </c>
      <c r="AJ16">
        <f>IF(AND(C16="Skema 1",B16="to"),Arbejdstidsoversigt!$E$47,"")</f>
        <v>0</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0</v>
      </c>
      <c r="BB16" s="233">
        <f t="shared" si="6"/>
        <v>0</v>
      </c>
      <c r="BC16" s="1">
        <f t="shared" si="21"/>
        <v>0</v>
      </c>
      <c r="BD16" s="1">
        <f t="shared" si="7"/>
        <v>0</v>
      </c>
      <c r="BE16" s="1">
        <f t="shared" si="8"/>
        <v>0</v>
      </c>
      <c r="BF16" s="1">
        <f t="shared" si="9"/>
        <v>0</v>
      </c>
      <c r="BG16" s="214" t="str">
        <f>IF(AND(C16="Skema 1",B16="ma"),Skemaoplysninger!$E$30,"")</f>
        <v/>
      </c>
      <c r="BH16" s="214" t="str">
        <f>IF(AND(C16="Skema 1",B16="ti"),Skemaoplysninger!$F$30,"")</f>
        <v/>
      </c>
      <c r="BI16" s="214" t="str">
        <f>IF(AND(C16="Skema 1",B16="on"),Skemaoplysninger!$G$30,"")</f>
        <v/>
      </c>
      <c r="BJ16" s="214">
        <f>IF(AND(C16="Skema 1",B16="to"),Skemaoplysninger!$H$30,"")</f>
        <v>0</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0"/>
        <v>0</v>
      </c>
      <c r="CC16" s="1">
        <f t="shared" si="11"/>
        <v>0</v>
      </c>
      <c r="CD16" s="214" t="str">
        <f>IF(AND(C16="Skema 1",B16="ma"),Skemaoplysninger!$E$39,"")</f>
        <v/>
      </c>
      <c r="CE16" s="214" t="str">
        <f>IF(AND(C16="Skema 1",B16="ti"),Skemaoplysninger!$F$39,"")</f>
        <v/>
      </c>
      <c r="CF16" s="214" t="str">
        <f>IF(AND(C16="Skema 1",B16="on"),Skemaoplysninger!$G$39,"")</f>
        <v/>
      </c>
      <c r="CG16" s="214">
        <f>IF(AND(C16="Skema 1",B16="to"),Skemaoplysninger!$H$39,"")</f>
        <v>0</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2"/>
        <v/>
      </c>
      <c r="DL16" t="str">
        <f t="shared" si="12"/>
        <v/>
      </c>
      <c r="DM16" t="str">
        <f t="shared" si="12"/>
        <v/>
      </c>
      <c r="DN16" t="str">
        <f t="shared" si="27"/>
        <v/>
      </c>
    </row>
    <row r="17" spans="1:118">
      <c r="A17" s="249">
        <f t="shared" si="13"/>
        <v>9</v>
      </c>
      <c r="B17" s="132" t="str">
        <f t="shared" si="0"/>
        <v>fr</v>
      </c>
      <c r="C17" s="133" t="s">
        <v>209</v>
      </c>
      <c r="D17" s="134" t="str">
        <f t="shared" si="1"/>
        <v/>
      </c>
      <c r="E17" s="871"/>
      <c r="F17" s="872"/>
      <c r="G17" s="873"/>
      <c r="H17" s="313"/>
      <c r="I17" s="582"/>
      <c r="J17" s="440"/>
      <c r="K17" s="405"/>
      <c r="L17" s="405"/>
      <c r="M17" s="405"/>
      <c r="N17" s="334">
        <f t="shared" si="14"/>
        <v>0</v>
      </c>
      <c r="O17" s="334">
        <f t="shared" si="15"/>
        <v>0</v>
      </c>
      <c r="P17" s="334">
        <f>IF(Stamoplysninger!$H$29="JA",Februar!DG17,CX17)</f>
        <v>0</v>
      </c>
      <c r="Q17" s="334">
        <f t="shared" si="16"/>
        <v>0</v>
      </c>
      <c r="R17" s="335"/>
      <c r="S17" s="341"/>
      <c r="T17" s="342"/>
      <c r="U17" s="342"/>
      <c r="V17" s="462"/>
      <c r="W17" s="336"/>
      <c r="X17" s="469"/>
      <c r="Y17">
        <f t="shared" si="17"/>
        <v>0</v>
      </c>
      <c r="Z17" s="467">
        <f t="shared" si="18"/>
        <v>0</v>
      </c>
      <c r="AA17" s="1">
        <f t="shared" si="19"/>
        <v>0</v>
      </c>
      <c r="AB17" s="1">
        <f t="shared" si="2"/>
        <v>0</v>
      </c>
      <c r="AC17" s="1">
        <f t="shared" si="3"/>
        <v>0</v>
      </c>
      <c r="AD17" s="1">
        <f t="shared" si="4"/>
        <v>0</v>
      </c>
      <c r="AE17" s="1">
        <f t="shared" si="5"/>
        <v>0</v>
      </c>
      <c r="AF17" s="1">
        <f>IF(C17="Orlov",7.4*Stamoplysninger!$E$15,0)</f>
        <v>0</v>
      </c>
      <c r="AG17" t="str">
        <f>IF(AND(C17="Skema 1",B17="ma"),Arbejdstidsoversigt!$E$44,"")</f>
        <v/>
      </c>
      <c r="AH17" t="str">
        <f>IF(AND(C17="Skema 1",B17="ti"),Arbejdstidsoversigt!$E$45,"")</f>
        <v/>
      </c>
      <c r="AI17" t="str">
        <f>IF(AND(C17="Skema 1",B17="on"),Arbejdstidsoversigt!$E$46,"")</f>
        <v/>
      </c>
      <c r="AJ17" t="str">
        <f>IF(AND(C17="Skema 1",B17="to"),Arbejdstidsoversigt!$E$47,"")</f>
        <v/>
      </c>
      <c r="AK17">
        <f>IF(AND(C17="Skema 1",B17="fr"),Arbejdstidsoversigt!$E$48,"")</f>
        <v>0</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6"/>
        <v>0</v>
      </c>
      <c r="BC17" s="1">
        <f t="shared" si="21"/>
        <v>0</v>
      </c>
      <c r="BD17" s="1">
        <f t="shared" si="7"/>
        <v>0</v>
      </c>
      <c r="BE17" s="1">
        <f t="shared" si="8"/>
        <v>0</v>
      </c>
      <c r="BF17" s="1">
        <f t="shared" si="9"/>
        <v>0</v>
      </c>
      <c r="BG17" s="214" t="str">
        <f>IF(AND(C17="Skema 1",B17="ma"),Skemaoplysninger!$E$30,"")</f>
        <v/>
      </c>
      <c r="BH17" s="214" t="str">
        <f>IF(AND(C17="Skema 1",B17="ti"),Skemaoplysninger!$F$30,"")</f>
        <v/>
      </c>
      <c r="BI17" s="214" t="str">
        <f>IF(AND(C17="Skema 1",B17="on"),Skemaoplysninger!$G$30,"")</f>
        <v/>
      </c>
      <c r="BJ17" s="214" t="str">
        <f>IF(AND(C17="Skema 1",B17="to"),Skemaoplysninger!$H$30,"")</f>
        <v/>
      </c>
      <c r="BK17" s="214">
        <f>IF(AND(C17="Skema 1",B17="fr"),Skemaoplysninger!$I$30,"")</f>
        <v>0</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0"/>
        <v>0</v>
      </c>
      <c r="CC17" s="1">
        <f t="shared" si="11"/>
        <v>0</v>
      </c>
      <c r="CD17" s="214" t="str">
        <f>IF(AND(C17="Skema 1",B17="ma"),Skemaoplysninger!$E$39,"")</f>
        <v/>
      </c>
      <c r="CE17" s="214" t="str">
        <f>IF(AND(C17="Skema 1",B17="ti"),Skemaoplysninger!$F$39,"")</f>
        <v/>
      </c>
      <c r="CF17" s="214" t="str">
        <f>IF(AND(C17="Skema 1",B17="on"),Skemaoplysninger!$G$39,"")</f>
        <v/>
      </c>
      <c r="CG17" s="214" t="str">
        <f>IF(AND(C17="Skema 1",B17="to"),Skemaoplysninger!$H$39,"")</f>
        <v/>
      </c>
      <c r="CH17" s="214">
        <f>IF(AND(C17="Skema 1",B17="fr"),Skemaoplysninger!$I$39,"")</f>
        <v>0</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2"/>
        <v/>
      </c>
      <c r="DL17" t="str">
        <f t="shared" si="12"/>
        <v/>
      </c>
      <c r="DM17" t="str">
        <f t="shared" si="12"/>
        <v/>
      </c>
      <c r="DN17" t="str">
        <f t="shared" si="27"/>
        <v/>
      </c>
    </row>
    <row r="18" spans="1:118">
      <c r="A18" s="249">
        <f t="shared" si="13"/>
        <v>10</v>
      </c>
      <c r="B18" s="132" t="str">
        <f t="shared" si="0"/>
        <v>lø</v>
      </c>
      <c r="C18" s="133" t="s">
        <v>121</v>
      </c>
      <c r="D18" s="134" t="str">
        <f t="shared" si="1"/>
        <v/>
      </c>
      <c r="E18" s="871"/>
      <c r="F18" s="872"/>
      <c r="G18" s="873"/>
      <c r="H18" s="313"/>
      <c r="I18" s="440"/>
      <c r="J18" s="440"/>
      <c r="K18" s="405"/>
      <c r="L18" s="405"/>
      <c r="M18" s="405"/>
      <c r="N18" s="334">
        <f t="shared" si="14"/>
        <v>0</v>
      </c>
      <c r="O18" s="334">
        <f t="shared" si="15"/>
        <v>0</v>
      </c>
      <c r="P18" s="334">
        <f>IF(Stamoplysninger!$H$29="JA",Februar!DG18,CX18)</f>
        <v>0</v>
      </c>
      <c r="Q18" s="334">
        <f t="shared" si="16"/>
        <v>0</v>
      </c>
      <c r="R18" s="335"/>
      <c r="S18" s="341"/>
      <c r="T18" s="342"/>
      <c r="U18" s="342"/>
      <c r="V18" s="462"/>
      <c r="W18" s="336"/>
      <c r="X18" s="469"/>
      <c r="Y18">
        <f t="shared" si="17"/>
        <v>0</v>
      </c>
      <c r="Z18" s="467">
        <f t="shared" si="18"/>
        <v>0</v>
      </c>
      <c r="AA18" s="1">
        <f t="shared" si="19"/>
        <v>0</v>
      </c>
      <c r="AB18" s="1">
        <f t="shared" si="2"/>
        <v>0</v>
      </c>
      <c r="AC18" s="1">
        <f t="shared" si="3"/>
        <v>0</v>
      </c>
      <c r="AD18" s="1">
        <f t="shared" si="4"/>
        <v>0</v>
      </c>
      <c r="AE18" s="1">
        <f t="shared" si="5"/>
        <v>0</v>
      </c>
      <c r="AF18" s="1">
        <f>IF(C18="Orlov",7.4*Stamoplysninger!$E$15,0)</f>
        <v>0</v>
      </c>
      <c r="AG18" t="str">
        <f>IF(AND(C18="Skema 1",B18="ma"),Arbejdstidsoversigt!$E$44,"")</f>
        <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6"/>
        <v>0</v>
      </c>
      <c r="BC18" s="1">
        <f t="shared" si="21"/>
        <v>0</v>
      </c>
      <c r="BD18" s="1">
        <f t="shared" si="7"/>
        <v>0</v>
      </c>
      <c r="BE18" s="1">
        <f t="shared" si="8"/>
        <v>0</v>
      </c>
      <c r="BF18" s="1">
        <f t="shared" si="9"/>
        <v>0</v>
      </c>
      <c r="BG18" s="214" t="str">
        <f>IF(AND(C18="Skema 1",B18="ma"),Skemaoplysninger!$E$30,"")</f>
        <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0"/>
        <v>0</v>
      </c>
      <c r="CC18" s="1">
        <f t="shared" si="11"/>
        <v>0</v>
      </c>
      <c r="CD18" s="214" t="str">
        <f>IF(AND(C18="Skema 1",B18="ma"),Skemaoplysninger!$E$39,"")</f>
        <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2"/>
        <v/>
      </c>
      <c r="DL18" t="str">
        <f t="shared" si="12"/>
        <v/>
      </c>
      <c r="DM18" t="str">
        <f t="shared" si="12"/>
        <v/>
      </c>
      <c r="DN18" t="str">
        <f t="shared" si="27"/>
        <v/>
      </c>
    </row>
    <row r="19" spans="1:118">
      <c r="A19" s="249">
        <f t="shared" si="13"/>
        <v>11</v>
      </c>
      <c r="B19" s="132" t="str">
        <f t="shared" si="0"/>
        <v>sø</v>
      </c>
      <c r="C19" s="133" t="s">
        <v>121</v>
      </c>
      <c r="D19" s="134" t="str">
        <f t="shared" si="1"/>
        <v/>
      </c>
      <c r="E19" s="871"/>
      <c r="F19" s="872"/>
      <c r="G19" s="873"/>
      <c r="H19" s="313"/>
      <c r="I19" s="440"/>
      <c r="J19" s="440"/>
      <c r="K19" s="405"/>
      <c r="L19" s="405"/>
      <c r="M19" s="405"/>
      <c r="N19" s="334">
        <f t="shared" si="14"/>
        <v>0</v>
      </c>
      <c r="O19" s="334">
        <f t="shared" si="15"/>
        <v>0</v>
      </c>
      <c r="P19" s="334">
        <f>IF(Stamoplysninger!$H$29="JA",Februar!DG19,CX19)</f>
        <v>0</v>
      </c>
      <c r="Q19" s="334">
        <f t="shared" si="16"/>
        <v>0</v>
      </c>
      <c r="R19" s="335"/>
      <c r="S19" s="341"/>
      <c r="T19" s="342"/>
      <c r="U19" s="342"/>
      <c r="V19" s="462"/>
      <c r="W19" s="336"/>
      <c r="X19" s="469"/>
      <c r="Y19">
        <f t="shared" si="17"/>
        <v>0</v>
      </c>
      <c r="Z19" s="467">
        <f t="shared" si="18"/>
        <v>0</v>
      </c>
      <c r="AA19" s="1">
        <f t="shared" si="19"/>
        <v>0</v>
      </c>
      <c r="AB19" s="1">
        <f t="shared" si="2"/>
        <v>0</v>
      </c>
      <c r="AC19" s="1">
        <f t="shared" si="3"/>
        <v>0</v>
      </c>
      <c r="AD19" s="1">
        <f t="shared" si="4"/>
        <v>0</v>
      </c>
      <c r="AE19" s="1">
        <f t="shared" si="5"/>
        <v>0</v>
      </c>
      <c r="AF19" s="1">
        <f>IF(C19="Orlov",7.4*Stamoplysninger!$E$15,0)</f>
        <v>0</v>
      </c>
      <c r="AG19" t="str">
        <f>IF(AND(C19="Skema 1",B19="ma"),Arbejdstidsoversigt!$E$44,"")</f>
        <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6"/>
        <v>0</v>
      </c>
      <c r="BC19" s="1">
        <f t="shared" si="21"/>
        <v>0</v>
      </c>
      <c r="BD19" s="1">
        <f t="shared" si="7"/>
        <v>0</v>
      </c>
      <c r="BE19" s="1">
        <f t="shared" si="8"/>
        <v>0</v>
      </c>
      <c r="BF19" s="1">
        <f t="shared" si="9"/>
        <v>0</v>
      </c>
      <c r="BG19" s="214" t="str">
        <f>IF(AND(C19="Skema 1",B19="ma"),Skemaoplysninger!$E$30,"")</f>
        <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0"/>
        <v>0</v>
      </c>
      <c r="CC19" s="1">
        <f t="shared" si="11"/>
        <v>0</v>
      </c>
      <c r="CD19" s="214" t="str">
        <f>IF(AND(C19="Skema 1",B19="ma"),Skemaoplysninger!$E$39,"")</f>
        <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2"/>
        <v/>
      </c>
      <c r="DL19" t="str">
        <f t="shared" si="12"/>
        <v/>
      </c>
      <c r="DM19" t="str">
        <f t="shared" si="12"/>
        <v/>
      </c>
      <c r="DN19" t="str">
        <f t="shared" si="27"/>
        <v/>
      </c>
    </row>
    <row r="20" spans="1:118">
      <c r="A20" s="249">
        <f>IF(ISNUMBER(A19),A19+1,1)</f>
        <v>12</v>
      </c>
      <c r="B20" s="132" t="str">
        <f t="shared" si="0"/>
        <v>ma</v>
      </c>
      <c r="C20" s="133" t="s">
        <v>129</v>
      </c>
      <c r="D20" s="134">
        <f t="shared" si="1"/>
        <v>7</v>
      </c>
      <c r="E20" s="871" t="s">
        <v>132</v>
      </c>
      <c r="F20" s="872"/>
      <c r="G20" s="873"/>
      <c r="H20" s="313"/>
      <c r="I20" s="582"/>
      <c r="J20" s="440"/>
      <c r="K20" s="405"/>
      <c r="L20" s="405"/>
      <c r="M20" s="405"/>
      <c r="N20" s="334">
        <f t="shared" si="14"/>
        <v>0</v>
      </c>
      <c r="O20" s="334">
        <f t="shared" si="15"/>
        <v>0</v>
      </c>
      <c r="P20" s="334">
        <f>IF(Stamoplysninger!$H$29="JA",Februar!DG20,CX20)</f>
        <v>0</v>
      </c>
      <c r="Q20" s="334">
        <f t="shared" si="16"/>
        <v>0</v>
      </c>
      <c r="R20" s="335"/>
      <c r="S20" s="341"/>
      <c r="T20" s="342"/>
      <c r="U20" s="342"/>
      <c r="V20" s="462"/>
      <c r="W20" s="336"/>
      <c r="X20" s="469"/>
      <c r="Y20">
        <f t="shared" si="17"/>
        <v>0</v>
      </c>
      <c r="Z20" s="467">
        <f t="shared" si="18"/>
        <v>0</v>
      </c>
      <c r="AA20" s="1">
        <f t="shared" si="19"/>
        <v>0</v>
      </c>
      <c r="AB20" s="1">
        <f t="shared" si="2"/>
        <v>0</v>
      </c>
      <c r="AC20" s="1">
        <f t="shared" si="3"/>
        <v>0</v>
      </c>
      <c r="AD20" s="1">
        <f t="shared" si="4"/>
        <v>0</v>
      </c>
      <c r="AE20" s="1">
        <f t="shared" si="5"/>
        <v>0</v>
      </c>
      <c r="AF20" s="1">
        <f>IF(C20="Orlov",7.4*Stamoplysninger!$E$15,0)</f>
        <v>0</v>
      </c>
      <c r="AG20" t="str">
        <f>IF(AND(C20="Skema 1",B20="ma"),Arbejdstidsoversigt!$E$44,"")</f>
        <v/>
      </c>
      <c r="AH20" t="str">
        <f>IF(AND(C20="Skema 1",B20="ti"),Arbejdstidsoversigt!$E$45,"")</f>
        <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6"/>
        <v>0</v>
      </c>
      <c r="BC20" s="1">
        <f t="shared" si="21"/>
        <v>0</v>
      </c>
      <c r="BD20" s="1">
        <f t="shared" si="7"/>
        <v>0</v>
      </c>
      <c r="BE20" s="1">
        <f t="shared" si="8"/>
        <v>0</v>
      </c>
      <c r="BF20" s="1">
        <f t="shared" si="9"/>
        <v>0</v>
      </c>
      <c r="BG20" s="214" t="str">
        <f>IF(AND(C20="Skema 1",B20="ma"),Skemaoplysninger!$E$30,"")</f>
        <v/>
      </c>
      <c r="BH20" s="214" t="str">
        <f>IF(AND(C20="Skema 1",B20="ti"),Skemaoplysninger!$F$30,"")</f>
        <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0"/>
        <v>0</v>
      </c>
      <c r="CC20" s="1">
        <f t="shared" si="11"/>
        <v>0</v>
      </c>
      <c r="CD20" s="214" t="str">
        <f>IF(AND(C20="Skema 1",B20="ma"),Skemaoplysninger!$E$39,"")</f>
        <v/>
      </c>
      <c r="CE20" s="214" t="str">
        <f>IF(AND(C20="Skema 1",B20="ti"),Skemaoplysninger!$F$39,"")</f>
        <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t="str">
        <f t="shared" si="25"/>
        <v>Elevernes vinterferie</v>
      </c>
      <c r="DJ20" t="str">
        <f t="shared" si="26"/>
        <v/>
      </c>
      <c r="DK20" t="str">
        <f t="shared" si="12"/>
        <v/>
      </c>
      <c r="DL20" t="str">
        <f t="shared" si="12"/>
        <v>Elevernes vinterferie</v>
      </c>
      <c r="DM20" t="str">
        <f t="shared" si="12"/>
        <v/>
      </c>
      <c r="DN20" t="str">
        <f t="shared" si="27"/>
        <v>Elevernes vinterferie</v>
      </c>
    </row>
    <row r="21" spans="1:118">
      <c r="A21" s="249">
        <f>IF(ISNUMBER(A20),A20+1,1)</f>
        <v>13</v>
      </c>
      <c r="B21" s="132" t="str">
        <f t="shared" si="0"/>
        <v>ti</v>
      </c>
      <c r="C21" s="133" t="s">
        <v>129</v>
      </c>
      <c r="D21" s="134" t="str">
        <f t="shared" si="1"/>
        <v/>
      </c>
      <c r="E21" s="868" t="s">
        <v>132</v>
      </c>
      <c r="F21" s="869"/>
      <c r="G21" s="870"/>
      <c r="H21" s="312"/>
      <c r="I21" s="582"/>
      <c r="J21" s="440"/>
      <c r="K21" s="405"/>
      <c r="L21" s="405"/>
      <c r="M21" s="405"/>
      <c r="N21" s="334">
        <f t="shared" si="14"/>
        <v>0</v>
      </c>
      <c r="O21" s="334">
        <f t="shared" si="15"/>
        <v>0</v>
      </c>
      <c r="P21" s="334">
        <f>IF(Stamoplysninger!$H$29="JA",Februar!DG21,CX21)</f>
        <v>0</v>
      </c>
      <c r="Q21" s="334">
        <f t="shared" si="16"/>
        <v>0</v>
      </c>
      <c r="R21" s="335"/>
      <c r="S21" s="341"/>
      <c r="T21" s="342"/>
      <c r="U21" s="342"/>
      <c r="V21" s="462"/>
      <c r="W21" s="336"/>
      <c r="X21" s="469"/>
      <c r="Y21">
        <f t="shared" si="17"/>
        <v>0</v>
      </c>
      <c r="Z21" s="467">
        <f t="shared" si="18"/>
        <v>0</v>
      </c>
      <c r="AA21" s="1">
        <f t="shared" si="19"/>
        <v>0</v>
      </c>
      <c r="AB21" s="1">
        <f t="shared" si="2"/>
        <v>0</v>
      </c>
      <c r="AC21" s="1">
        <f t="shared" si="3"/>
        <v>0</v>
      </c>
      <c r="AD21" s="1">
        <f t="shared" si="4"/>
        <v>0</v>
      </c>
      <c r="AE21" s="1">
        <f t="shared" si="5"/>
        <v>0</v>
      </c>
      <c r="AF21" s="1">
        <f>IF(C21="Orlov",7.4*Stamoplysninger!$E$15,0)</f>
        <v>0</v>
      </c>
      <c r="AG21" t="str">
        <f>IF(AND(C21="Skema 1",B21="ma"),Arbejdstidsoversigt!$E$44,"")</f>
        <v/>
      </c>
      <c r="AH21" t="str">
        <f>IF(AND(C21="Skema 1",B21="ti"),Arbejdstidsoversigt!$E$45,"")</f>
        <v/>
      </c>
      <c r="AI21" t="str">
        <f>IF(AND(C21="Skema 1",B21="on"),Arbejdstidsoversigt!$E$46,"")</f>
        <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6"/>
        <v>0</v>
      </c>
      <c r="BC21" s="1">
        <f t="shared" si="21"/>
        <v>0</v>
      </c>
      <c r="BD21" s="1">
        <f t="shared" si="7"/>
        <v>0</v>
      </c>
      <c r="BE21" s="1">
        <f t="shared" si="8"/>
        <v>0</v>
      </c>
      <c r="BF21" s="1">
        <f t="shared" si="9"/>
        <v>0</v>
      </c>
      <c r="BG21" s="214" t="str">
        <f>IF(AND(C21="Skema 1",B21="ma"),Skemaoplysninger!$E$30,"")</f>
        <v/>
      </c>
      <c r="BH21" s="214" t="str">
        <f>IF(AND(C21="Skema 1",B21="ti"),Skemaoplysninger!$F$30,"")</f>
        <v/>
      </c>
      <c r="BI21" s="214" t="str">
        <f>IF(AND(C21="Skema 1",B21="on"),Skemaoplysninger!$G$30,"")</f>
        <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0"/>
        <v>0</v>
      </c>
      <c r="CC21" s="1">
        <f t="shared" si="11"/>
        <v>0</v>
      </c>
      <c r="CD21" s="214" t="str">
        <f>IF(AND(C21="Skema 1",B21="ma"),Skemaoplysninger!$E$39,"")</f>
        <v/>
      </c>
      <c r="CE21" s="214" t="str">
        <f>IF(AND(C21="Skema 1",B21="ti"),Skemaoplysninger!$F$39,"")</f>
        <v/>
      </c>
      <c r="CF21" s="214" t="str">
        <f>IF(AND(C21="Skema 1",B21="on"),Skemaoplysninger!$G$39,"")</f>
        <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t="str">
        <f t="shared" si="25"/>
        <v>Elevernes vinterferie</v>
      </c>
      <c r="DJ21" t="str">
        <f t="shared" si="26"/>
        <v/>
      </c>
      <c r="DK21" t="str">
        <f t="shared" si="12"/>
        <v/>
      </c>
      <c r="DL21" t="str">
        <f t="shared" si="12"/>
        <v>Elevernes vinterferie</v>
      </c>
      <c r="DM21" t="str">
        <f t="shared" si="12"/>
        <v/>
      </c>
      <c r="DN21" t="str">
        <f t="shared" si="27"/>
        <v>Elevernes vinterferie</v>
      </c>
    </row>
    <row r="22" spans="1:118">
      <c r="A22" s="249">
        <f t="shared" si="13"/>
        <v>14</v>
      </c>
      <c r="B22" s="132" t="str">
        <f t="shared" si="0"/>
        <v>on</v>
      </c>
      <c r="C22" s="133" t="s">
        <v>129</v>
      </c>
      <c r="D22" s="134" t="str">
        <f t="shared" si="1"/>
        <v/>
      </c>
      <c r="E22" s="868" t="s">
        <v>132</v>
      </c>
      <c r="F22" s="869"/>
      <c r="G22" s="870"/>
      <c r="H22" s="312"/>
      <c r="I22" s="582"/>
      <c r="J22" s="440"/>
      <c r="K22" s="405"/>
      <c r="L22" s="405"/>
      <c r="M22" s="405"/>
      <c r="N22" s="334">
        <f t="shared" si="14"/>
        <v>0</v>
      </c>
      <c r="O22" s="334">
        <f t="shared" si="15"/>
        <v>0</v>
      </c>
      <c r="P22" s="334">
        <f>IF(Stamoplysninger!$H$29="JA",Februar!DG22,CX22)</f>
        <v>0</v>
      </c>
      <c r="Q22" s="334">
        <f t="shared" si="16"/>
        <v>0</v>
      </c>
      <c r="R22" s="335"/>
      <c r="S22" s="341"/>
      <c r="T22" s="342"/>
      <c r="U22" s="342"/>
      <c r="V22" s="462"/>
      <c r="W22" s="336"/>
      <c r="X22" s="469"/>
      <c r="Y22">
        <f t="shared" si="17"/>
        <v>0</v>
      </c>
      <c r="Z22" s="467">
        <f t="shared" si="18"/>
        <v>0</v>
      </c>
      <c r="AA22" s="1">
        <f t="shared" si="19"/>
        <v>0</v>
      </c>
      <c r="AB22" s="1">
        <f t="shared" si="2"/>
        <v>0</v>
      </c>
      <c r="AC22" s="1">
        <f t="shared" si="3"/>
        <v>0</v>
      </c>
      <c r="AD22" s="1">
        <f t="shared" si="4"/>
        <v>0</v>
      </c>
      <c r="AE22" s="1">
        <f t="shared" si="5"/>
        <v>0</v>
      </c>
      <c r="AF22" s="1">
        <f>IF(C22="Orlov",7.4*Stamoplysninger!$E$15,0)</f>
        <v>0</v>
      </c>
      <c r="AG22" t="str">
        <f>IF(AND(C22="Skema 1",B22="ma"),Arbejdstidsoversigt!$E$44,"")</f>
        <v/>
      </c>
      <c r="AH22" t="str">
        <f>IF(AND(C22="Skema 1",B22="ti"),Arbejdstidsoversigt!$E$45,"")</f>
        <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6"/>
        <v>0</v>
      </c>
      <c r="BC22" s="1">
        <f t="shared" si="21"/>
        <v>0</v>
      </c>
      <c r="BD22" s="1">
        <f t="shared" si="7"/>
        <v>0</v>
      </c>
      <c r="BE22" s="1">
        <f t="shared" si="8"/>
        <v>0</v>
      </c>
      <c r="BF22" s="1">
        <f t="shared" si="9"/>
        <v>0</v>
      </c>
      <c r="BG22" s="214" t="str">
        <f>IF(AND(C22="Skema 1",B22="ma"),Skemaoplysninger!$E$30,"")</f>
        <v/>
      </c>
      <c r="BH22" s="214" t="str">
        <f>IF(AND(C22="Skema 1",B22="ti"),Skemaoplysninger!$F$30,"")</f>
        <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0"/>
        <v>0</v>
      </c>
      <c r="CC22" s="1">
        <f t="shared" si="11"/>
        <v>0</v>
      </c>
      <c r="CD22" s="214" t="str">
        <f>IF(AND(C22="Skema 1",B22="ma"),Skemaoplysninger!$E$39,"")</f>
        <v/>
      </c>
      <c r="CE22" s="214" t="str">
        <f>IF(AND(C22="Skema 1",B22="ti"),Skemaoplysninger!$F$39,"")</f>
        <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t="str">
        <f t="shared" si="25"/>
        <v>Elevernes vinterferie</v>
      </c>
      <c r="DJ22" t="str">
        <f t="shared" si="26"/>
        <v/>
      </c>
      <c r="DK22" t="str">
        <f t="shared" si="12"/>
        <v/>
      </c>
      <c r="DL22" t="str">
        <f t="shared" si="12"/>
        <v>Elevernes vinterferie</v>
      </c>
      <c r="DM22" t="str">
        <f t="shared" si="12"/>
        <v/>
      </c>
      <c r="DN22" t="str">
        <f t="shared" si="27"/>
        <v>Elevernes vinterferie</v>
      </c>
    </row>
    <row r="23" spans="1:118">
      <c r="A23" s="249">
        <f t="shared" si="13"/>
        <v>15</v>
      </c>
      <c r="B23" s="132" t="str">
        <f t="shared" si="0"/>
        <v>to</v>
      </c>
      <c r="C23" s="133" t="s">
        <v>129</v>
      </c>
      <c r="D23" s="134" t="str">
        <f t="shared" si="1"/>
        <v/>
      </c>
      <c r="E23" s="868" t="s">
        <v>132</v>
      </c>
      <c r="F23" s="869"/>
      <c r="G23" s="870"/>
      <c r="H23" s="312"/>
      <c r="I23" s="582"/>
      <c r="J23" s="440"/>
      <c r="K23" s="405"/>
      <c r="L23" s="405"/>
      <c r="M23" s="405"/>
      <c r="N23" s="334">
        <f t="shared" si="14"/>
        <v>0</v>
      </c>
      <c r="O23" s="334">
        <f t="shared" si="15"/>
        <v>0</v>
      </c>
      <c r="P23" s="334">
        <f>IF(Stamoplysninger!$H$29="JA",Februar!DG23,CX23)</f>
        <v>0</v>
      </c>
      <c r="Q23" s="334">
        <f t="shared" si="16"/>
        <v>0</v>
      </c>
      <c r="R23" s="335"/>
      <c r="S23" s="341"/>
      <c r="T23" s="342"/>
      <c r="U23" s="342"/>
      <c r="V23" s="462"/>
      <c r="W23" s="336"/>
      <c r="X23" s="469"/>
      <c r="Y23">
        <f t="shared" si="17"/>
        <v>0</v>
      </c>
      <c r="Z23" s="467">
        <f t="shared" si="18"/>
        <v>0</v>
      </c>
      <c r="AA23" s="1">
        <f t="shared" si="19"/>
        <v>0</v>
      </c>
      <c r="AB23" s="1">
        <f t="shared" si="2"/>
        <v>0</v>
      </c>
      <c r="AC23" s="1">
        <f t="shared" si="3"/>
        <v>0</v>
      </c>
      <c r="AD23" s="1">
        <f t="shared" si="4"/>
        <v>0</v>
      </c>
      <c r="AE23" s="1">
        <f t="shared" si="5"/>
        <v>0</v>
      </c>
      <c r="AF23" s="1">
        <f>IF(C23="Orlov",7.4*Stamoplysninger!$E$15,0)</f>
        <v>0</v>
      </c>
      <c r="AG23" t="str">
        <f>IF(AND(C23="Skema 1",B23="ma"),Arbejdstidsoversigt!$E$44,"")</f>
        <v/>
      </c>
      <c r="AH23" t="str">
        <f>IF(AND(C23="Skema 1",B23="ti"),Arbejdstidsoversigt!$E$45,"")</f>
        <v/>
      </c>
      <c r="AI23" t="str">
        <f>IF(AND(C23="Skema 1",B23="on"),Arbejdstidsoversigt!$E$46,"")</f>
        <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6"/>
        <v>0</v>
      </c>
      <c r="BC23" s="1">
        <f t="shared" si="21"/>
        <v>0</v>
      </c>
      <c r="BD23" s="1">
        <f t="shared" si="7"/>
        <v>0</v>
      </c>
      <c r="BE23" s="1">
        <f t="shared" si="8"/>
        <v>0</v>
      </c>
      <c r="BF23" s="1">
        <f t="shared" si="9"/>
        <v>0</v>
      </c>
      <c r="BG23" s="214" t="str">
        <f>IF(AND(C23="Skema 1",B23="ma"),Skemaoplysninger!$E$30,"")</f>
        <v/>
      </c>
      <c r="BH23" s="214" t="str">
        <f>IF(AND(C23="Skema 1",B23="ti"),Skemaoplysninger!$F$30,"")</f>
        <v/>
      </c>
      <c r="BI23" s="214" t="str">
        <f>IF(AND(C23="Skema 1",B23="on"),Skemaoplysninger!$G$30,"")</f>
        <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0"/>
        <v>0</v>
      </c>
      <c r="CC23" s="1">
        <f t="shared" si="11"/>
        <v>0</v>
      </c>
      <c r="CD23" s="214" t="str">
        <f>IF(AND(C23="Skema 1",B23="ma"),Skemaoplysninger!$E$39,"")</f>
        <v/>
      </c>
      <c r="CE23" s="214" t="str">
        <f>IF(AND(C23="Skema 1",B23="ti"),Skemaoplysninger!$F$39,"")</f>
        <v/>
      </c>
      <c r="CF23" s="214" t="str">
        <f>IF(AND(C23="Skema 1",B23="on"),Skemaoplysninger!$G$39,"")</f>
        <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t="str">
        <f t="shared" si="25"/>
        <v>Elevernes vinterferie</v>
      </c>
      <c r="DJ23" t="str">
        <f t="shared" si="26"/>
        <v/>
      </c>
      <c r="DK23" t="str">
        <f t="shared" si="12"/>
        <v/>
      </c>
      <c r="DL23" t="str">
        <f t="shared" si="12"/>
        <v>Elevernes vinterferie</v>
      </c>
      <c r="DM23" t="str">
        <f t="shared" si="12"/>
        <v/>
      </c>
      <c r="DN23" t="str">
        <f t="shared" si="27"/>
        <v>Elevernes vinterferie</v>
      </c>
    </row>
    <row r="24" spans="1:118">
      <c r="A24" s="249">
        <f>IF(ISNUMBER(A23),A23+1,1)</f>
        <v>16</v>
      </c>
      <c r="B24" s="132" t="str">
        <f t="shared" si="0"/>
        <v>fr</v>
      </c>
      <c r="C24" s="133" t="s">
        <v>129</v>
      </c>
      <c r="D24" s="134" t="str">
        <f t="shared" si="1"/>
        <v/>
      </c>
      <c r="E24" s="871" t="s">
        <v>132</v>
      </c>
      <c r="F24" s="872"/>
      <c r="G24" s="873"/>
      <c r="H24" s="313"/>
      <c r="I24" s="582"/>
      <c r="J24" s="440"/>
      <c r="K24" s="405"/>
      <c r="L24" s="405"/>
      <c r="M24" s="405"/>
      <c r="N24" s="334">
        <f t="shared" si="14"/>
        <v>0</v>
      </c>
      <c r="O24" s="334">
        <f t="shared" si="15"/>
        <v>0</v>
      </c>
      <c r="P24" s="334">
        <f>IF(Stamoplysninger!$H$29="JA",Februar!DG24,CX24)</f>
        <v>0</v>
      </c>
      <c r="Q24" s="334">
        <f t="shared" si="16"/>
        <v>0</v>
      </c>
      <c r="R24" s="335"/>
      <c r="S24" s="341"/>
      <c r="T24" s="342"/>
      <c r="U24" s="342"/>
      <c r="V24" s="462"/>
      <c r="W24" s="336"/>
      <c r="X24" s="469"/>
      <c r="Y24">
        <f t="shared" si="17"/>
        <v>0</v>
      </c>
      <c r="Z24" s="467">
        <f t="shared" si="18"/>
        <v>0</v>
      </c>
      <c r="AA24" s="1">
        <f t="shared" si="19"/>
        <v>0</v>
      </c>
      <c r="AB24" s="1">
        <f t="shared" si="2"/>
        <v>0</v>
      </c>
      <c r="AC24" s="1">
        <f t="shared" si="3"/>
        <v>0</v>
      </c>
      <c r="AD24" s="1">
        <f t="shared" si="4"/>
        <v>0</v>
      </c>
      <c r="AE24" s="1">
        <f t="shared" si="5"/>
        <v>0</v>
      </c>
      <c r="AF24" s="1">
        <f>IF(C24="Orlov",7.4*Stamoplysninger!$E$15,0)</f>
        <v>0</v>
      </c>
      <c r="AG24" t="str">
        <f>IF(AND(C24="Skema 1",B24="ma"),Arbejdstidsoversigt!$E$44,"")</f>
        <v/>
      </c>
      <c r="AH24" t="str">
        <f>IF(AND(C24="Skema 1",B24="ti"),Arbejdstidsoversigt!$E$45,"")</f>
        <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6"/>
        <v>0</v>
      </c>
      <c r="BC24" s="1">
        <f t="shared" si="21"/>
        <v>0</v>
      </c>
      <c r="BD24" s="1">
        <f t="shared" si="7"/>
        <v>0</v>
      </c>
      <c r="BE24" s="1">
        <f t="shared" si="8"/>
        <v>0</v>
      </c>
      <c r="BF24" s="1">
        <f t="shared" si="9"/>
        <v>0</v>
      </c>
      <c r="BG24" s="214" t="str">
        <f>IF(AND(C24="Skema 1",B24="ma"),Skemaoplysninger!$E$30,"")</f>
        <v/>
      </c>
      <c r="BH24" s="214" t="str">
        <f>IF(AND(C24="Skema 1",B24="ti"),Skemaoplysninger!$F$30,"")</f>
        <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0"/>
        <v>0</v>
      </c>
      <c r="CC24" s="1">
        <f t="shared" si="11"/>
        <v>0</v>
      </c>
      <c r="CD24" s="214" t="str">
        <f>IF(AND(C24="Skema 1",B24="ma"),Skemaoplysninger!$E$39,"")</f>
        <v/>
      </c>
      <c r="CE24" s="214" t="str">
        <f>IF(AND(C24="Skema 1",B24="ti"),Skemaoplysninger!$F$39,"")</f>
        <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t="str">
        <f t="shared" si="25"/>
        <v>Elevernes vinterferie</v>
      </c>
      <c r="DJ24" t="str">
        <f t="shared" si="26"/>
        <v/>
      </c>
      <c r="DK24" t="str">
        <f t="shared" si="12"/>
        <v/>
      </c>
      <c r="DL24" t="str">
        <f t="shared" si="12"/>
        <v>Elevernes vinterferie</v>
      </c>
      <c r="DM24" t="str">
        <f t="shared" si="12"/>
        <v/>
      </c>
      <c r="DN24" t="str">
        <f t="shared" si="27"/>
        <v>Elevernes vinterferie</v>
      </c>
    </row>
    <row r="25" spans="1:118">
      <c r="A25" s="249">
        <f t="shared" si="13"/>
        <v>17</v>
      </c>
      <c r="B25" s="132" t="str">
        <f t="shared" si="0"/>
        <v>lø</v>
      </c>
      <c r="C25" s="133" t="s">
        <v>121</v>
      </c>
      <c r="D25" s="134" t="str">
        <f t="shared" si="1"/>
        <v/>
      </c>
      <c r="E25" s="871"/>
      <c r="F25" s="872"/>
      <c r="G25" s="873"/>
      <c r="H25" s="313"/>
      <c r="I25" s="440"/>
      <c r="J25" s="440"/>
      <c r="K25" s="405"/>
      <c r="L25" s="405"/>
      <c r="M25" s="405"/>
      <c r="N25" s="334">
        <f t="shared" si="14"/>
        <v>0</v>
      </c>
      <c r="O25" s="334">
        <f t="shared" si="15"/>
        <v>0</v>
      </c>
      <c r="P25" s="334">
        <f>IF(Stamoplysninger!$H$29="JA",Februar!DG25,CX25)</f>
        <v>0</v>
      </c>
      <c r="Q25" s="334">
        <f t="shared" si="16"/>
        <v>0</v>
      </c>
      <c r="R25" s="335"/>
      <c r="S25" s="341"/>
      <c r="T25" s="342"/>
      <c r="U25" s="342"/>
      <c r="V25" s="462"/>
      <c r="W25" s="336"/>
      <c r="X25" s="469"/>
      <c r="Y25">
        <f t="shared" si="17"/>
        <v>0</v>
      </c>
      <c r="Z25" s="467">
        <f t="shared" si="18"/>
        <v>0</v>
      </c>
      <c r="AA25" s="1">
        <f t="shared" si="19"/>
        <v>0</v>
      </c>
      <c r="AB25" s="1">
        <f t="shared" si="2"/>
        <v>0</v>
      </c>
      <c r="AC25" s="1">
        <f t="shared" si="3"/>
        <v>0</v>
      </c>
      <c r="AD25" s="1">
        <f t="shared" si="4"/>
        <v>0</v>
      </c>
      <c r="AE25" s="1">
        <f t="shared" si="5"/>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6"/>
        <v>0</v>
      </c>
      <c r="BC25" s="1">
        <f t="shared" si="21"/>
        <v>0</v>
      </c>
      <c r="BD25" s="1">
        <f t="shared" si="7"/>
        <v>0</v>
      </c>
      <c r="BE25" s="1">
        <f t="shared" si="8"/>
        <v>0</v>
      </c>
      <c r="BF25" s="1">
        <f t="shared" si="9"/>
        <v>0</v>
      </c>
      <c r="BG25" s="214" t="str">
        <f>IF(AND(C25="Skema 1",B25="ma"),Skemaoplysninger!$E$30,"")</f>
        <v/>
      </c>
      <c r="BH25" s="214" t="str">
        <f>IF(AND(C25="Skema 1",B25="ti"),Skemaoplysninger!$F$30,"")</f>
        <v/>
      </c>
      <c r="BI25" s="214" t="str">
        <f>IF(AND(C25="Skema 1",B25="on"),Skemaoplysninger!$G$30,"")</f>
        <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0"/>
        <v>0</v>
      </c>
      <c r="CC25" s="1">
        <f t="shared" si="11"/>
        <v>0</v>
      </c>
      <c r="CD25" s="214" t="str">
        <f>IF(AND(C25="Skema 1",B25="ma"),Skemaoplysninger!$E$39,"")</f>
        <v/>
      </c>
      <c r="CE25" s="214" t="str">
        <f>IF(AND(C25="Skema 1",B25="ti"),Skemaoplysninger!$F$39,"")</f>
        <v/>
      </c>
      <c r="CF25" s="214" t="str">
        <f>IF(AND(C25="Skema 1",B25="on"),Skemaoplysninger!$G$39,"")</f>
        <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2"/>
        <v/>
      </c>
      <c r="DL25" t="str">
        <f t="shared" si="12"/>
        <v/>
      </c>
      <c r="DM25" t="str">
        <f t="shared" si="12"/>
        <v/>
      </c>
      <c r="DN25" t="str">
        <f t="shared" si="27"/>
        <v/>
      </c>
    </row>
    <row r="26" spans="1:118">
      <c r="A26" s="249">
        <f t="shared" si="13"/>
        <v>18</v>
      </c>
      <c r="B26" s="132" t="str">
        <f t="shared" si="0"/>
        <v>sø</v>
      </c>
      <c r="C26" s="133" t="s">
        <v>121</v>
      </c>
      <c r="D26" s="134" t="str">
        <f t="shared" si="1"/>
        <v/>
      </c>
      <c r="E26" s="871"/>
      <c r="F26" s="872"/>
      <c r="G26" s="873"/>
      <c r="H26" s="313"/>
      <c r="I26" s="440"/>
      <c r="J26" s="440"/>
      <c r="K26" s="405"/>
      <c r="L26" s="405"/>
      <c r="M26" s="405"/>
      <c r="N26" s="334">
        <f t="shared" si="14"/>
        <v>0</v>
      </c>
      <c r="O26" s="334">
        <f t="shared" si="15"/>
        <v>0</v>
      </c>
      <c r="P26" s="334">
        <f>IF(Stamoplysninger!$H$29="JA",Februar!DG26,CX26)</f>
        <v>0</v>
      </c>
      <c r="Q26" s="334">
        <f t="shared" si="16"/>
        <v>0</v>
      </c>
      <c r="R26" s="335"/>
      <c r="S26" s="341"/>
      <c r="T26" s="342"/>
      <c r="U26" s="342"/>
      <c r="V26" s="462"/>
      <c r="W26" s="336"/>
      <c r="X26" s="469"/>
      <c r="Y26">
        <f t="shared" si="17"/>
        <v>0</v>
      </c>
      <c r="Z26" s="467">
        <f t="shared" si="18"/>
        <v>0</v>
      </c>
      <c r="AA26" s="1">
        <f t="shared" si="19"/>
        <v>0</v>
      </c>
      <c r="AB26" s="1">
        <f t="shared" si="2"/>
        <v>0</v>
      </c>
      <c r="AC26" s="1">
        <f t="shared" si="3"/>
        <v>0</v>
      </c>
      <c r="AD26" s="1">
        <f t="shared" si="4"/>
        <v>0</v>
      </c>
      <c r="AE26" s="1">
        <f t="shared" si="5"/>
        <v>0</v>
      </c>
      <c r="AF26" s="1">
        <f>IF(C26="Orlov",7.4*Stamoplysninger!$E$15,0)</f>
        <v>0</v>
      </c>
      <c r="AG26" t="str">
        <f>IF(AND(C26="Skema 1",B26="ma"),Arbejdstidsoversigt!$E$44,"")</f>
        <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6"/>
        <v>0</v>
      </c>
      <c r="BC26" s="1">
        <f t="shared" si="21"/>
        <v>0</v>
      </c>
      <c r="BD26" s="1">
        <f t="shared" si="7"/>
        <v>0</v>
      </c>
      <c r="BE26" s="1">
        <f t="shared" si="8"/>
        <v>0</v>
      </c>
      <c r="BF26" s="1">
        <f t="shared" si="9"/>
        <v>0</v>
      </c>
      <c r="BG26" s="214" t="str">
        <f>IF(AND(C26="Skema 1",B26="ma"),Skemaoplysninger!$E$30,"")</f>
        <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0"/>
        <v>0</v>
      </c>
      <c r="CC26" s="1">
        <f t="shared" si="11"/>
        <v>0</v>
      </c>
      <c r="CD26" s="214" t="str">
        <f>IF(AND(C26="Skema 1",B26="ma"),Skemaoplysninger!$E$39,"")</f>
        <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2"/>
        <v/>
      </c>
      <c r="DL26" t="str">
        <f t="shared" si="12"/>
        <v/>
      </c>
      <c r="DM26" t="str">
        <f t="shared" si="12"/>
        <v/>
      </c>
      <c r="DN26" t="str">
        <f t="shared" si="27"/>
        <v/>
      </c>
    </row>
    <row r="27" spans="1:118">
      <c r="A27" s="249">
        <f t="shared" si="13"/>
        <v>19</v>
      </c>
      <c r="B27" s="132" t="str">
        <f t="shared" si="0"/>
        <v>ma</v>
      </c>
      <c r="C27" s="133" t="s">
        <v>209</v>
      </c>
      <c r="D27" s="134">
        <f t="shared" si="1"/>
        <v>8</v>
      </c>
      <c r="E27" s="871"/>
      <c r="F27" s="872"/>
      <c r="G27" s="873"/>
      <c r="H27" s="313"/>
      <c r="I27" s="582"/>
      <c r="J27" s="440"/>
      <c r="K27" s="405"/>
      <c r="L27" s="405"/>
      <c r="M27" s="405"/>
      <c r="N27" s="334">
        <f t="shared" si="14"/>
        <v>0</v>
      </c>
      <c r="O27" s="334">
        <f t="shared" si="15"/>
        <v>0</v>
      </c>
      <c r="P27" s="334">
        <f>IF(Stamoplysninger!$H$29="JA",Februar!DG27,CX27)</f>
        <v>0</v>
      </c>
      <c r="Q27" s="334">
        <f t="shared" si="16"/>
        <v>0</v>
      </c>
      <c r="R27" s="335"/>
      <c r="S27" s="341"/>
      <c r="T27" s="342"/>
      <c r="U27" s="342"/>
      <c r="V27" s="462"/>
      <c r="W27" s="336"/>
      <c r="X27" s="469"/>
      <c r="Y27">
        <f t="shared" si="17"/>
        <v>0</v>
      </c>
      <c r="Z27" s="467">
        <f t="shared" si="18"/>
        <v>0</v>
      </c>
      <c r="AA27" s="1">
        <f t="shared" si="19"/>
        <v>0</v>
      </c>
      <c r="AB27" s="1">
        <f t="shared" si="2"/>
        <v>0</v>
      </c>
      <c r="AC27" s="1">
        <f t="shared" si="3"/>
        <v>0</v>
      </c>
      <c r="AD27" s="1">
        <f t="shared" si="4"/>
        <v>0</v>
      </c>
      <c r="AE27" s="1">
        <f t="shared" si="5"/>
        <v>0</v>
      </c>
      <c r="AF27" s="1">
        <f>IF(C27="Orlov",7.4*Stamoplysninger!$E$15,0)</f>
        <v>0</v>
      </c>
      <c r="AG27">
        <f>IF(AND(C27="Skema 1",B27="ma"),Arbejdstidsoversigt!$E$44,"")</f>
        <v>0</v>
      </c>
      <c r="AH27" t="str">
        <f>IF(AND(C27="Skema 1",B27="ti"),Arbejdstidsoversigt!$E$45,"")</f>
        <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6"/>
        <v>0</v>
      </c>
      <c r="BC27" s="1">
        <f t="shared" si="21"/>
        <v>0</v>
      </c>
      <c r="BD27" s="1">
        <f t="shared" si="7"/>
        <v>0</v>
      </c>
      <c r="BE27" s="1">
        <f t="shared" si="8"/>
        <v>0</v>
      </c>
      <c r="BF27" s="1">
        <f t="shared" si="9"/>
        <v>0</v>
      </c>
      <c r="BG27" s="214">
        <f>IF(AND(C27="Skema 1",B27="ma"),Skemaoplysninger!$E$30,"")</f>
        <v>0</v>
      </c>
      <c r="BH27" s="214" t="str">
        <f>IF(AND(C27="Skema 1",B27="ti"),Skemaoplysninger!$F$30,"")</f>
        <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0"/>
        <v>0</v>
      </c>
      <c r="CC27" s="1">
        <f t="shared" si="11"/>
        <v>0</v>
      </c>
      <c r="CD27" s="214">
        <f>IF(AND(C27="Skema 1",B27="ma"),Skemaoplysninger!$E$39,"")</f>
        <v>0</v>
      </c>
      <c r="CE27" s="214" t="str">
        <f>IF(AND(C27="Skema 1",B27="ti"),Skemaoplysninger!$F$39,"")</f>
        <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f t="shared" si="25"/>
        <v>0</v>
      </c>
      <c r="DJ27">
        <f t="shared" si="26"/>
        <v>0</v>
      </c>
      <c r="DK27" t="str">
        <f t="shared" si="12"/>
        <v/>
      </c>
      <c r="DL27" t="str">
        <f t="shared" si="12"/>
        <v/>
      </c>
      <c r="DM27" t="str">
        <f t="shared" si="12"/>
        <v/>
      </c>
      <c r="DN27" t="str">
        <f t="shared" si="27"/>
        <v/>
      </c>
    </row>
    <row r="28" spans="1:118">
      <c r="A28" s="249">
        <f t="shared" si="13"/>
        <v>20</v>
      </c>
      <c r="B28" s="132" t="str">
        <f t="shared" si="0"/>
        <v>ti</v>
      </c>
      <c r="C28" s="133" t="s">
        <v>209</v>
      </c>
      <c r="D28" s="134" t="str">
        <f t="shared" si="1"/>
        <v/>
      </c>
      <c r="E28" s="871"/>
      <c r="F28" s="872"/>
      <c r="G28" s="873"/>
      <c r="H28" s="313"/>
      <c r="I28" s="582"/>
      <c r="J28" s="440"/>
      <c r="K28" s="405"/>
      <c r="L28" s="405"/>
      <c r="M28" s="405"/>
      <c r="N28" s="334">
        <f t="shared" si="14"/>
        <v>0</v>
      </c>
      <c r="O28" s="334">
        <f t="shared" si="15"/>
        <v>0</v>
      </c>
      <c r="P28" s="334">
        <f>IF(Stamoplysninger!$H$29="JA",Februar!DG28,CX28)</f>
        <v>0</v>
      </c>
      <c r="Q28" s="334">
        <f t="shared" si="16"/>
        <v>0</v>
      </c>
      <c r="R28" s="335"/>
      <c r="S28" s="341"/>
      <c r="T28" s="342"/>
      <c r="U28" s="342"/>
      <c r="V28" s="462"/>
      <c r="W28" s="336"/>
      <c r="X28" s="469"/>
      <c r="Y28">
        <f t="shared" si="17"/>
        <v>0</v>
      </c>
      <c r="Z28" s="467">
        <f t="shared" si="18"/>
        <v>0</v>
      </c>
      <c r="AA28" s="1">
        <f t="shared" si="19"/>
        <v>0</v>
      </c>
      <c r="AB28" s="1">
        <f t="shared" si="2"/>
        <v>0</v>
      </c>
      <c r="AC28" s="1">
        <f t="shared" si="3"/>
        <v>0</v>
      </c>
      <c r="AD28" s="1">
        <f t="shared" si="4"/>
        <v>0</v>
      </c>
      <c r="AE28" s="1">
        <f t="shared" si="5"/>
        <v>0</v>
      </c>
      <c r="AF28" s="1">
        <f>IF(C28="Orlov",7.4*Stamoplysninger!$E$15,0)</f>
        <v>0</v>
      </c>
      <c r="AG28" t="str">
        <f>IF(AND(C28="Skema 1",B28="ma"),Arbejdstidsoversigt!$E$44,"")</f>
        <v/>
      </c>
      <c r="AH28">
        <f>IF(AND(C28="Skema 1",B28="ti"),Arbejdstidsoversigt!$E$45,"")</f>
        <v>0</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6"/>
        <v>0</v>
      </c>
      <c r="BC28" s="1">
        <f t="shared" si="21"/>
        <v>0</v>
      </c>
      <c r="BD28" s="1">
        <f t="shared" si="7"/>
        <v>0</v>
      </c>
      <c r="BE28" s="1">
        <f t="shared" si="8"/>
        <v>0</v>
      </c>
      <c r="BF28" s="1">
        <f t="shared" si="9"/>
        <v>0</v>
      </c>
      <c r="BG28" s="214" t="str">
        <f>IF(AND(C28="Skema 1",B28="ma"),Skemaoplysninger!$E$30,"")</f>
        <v/>
      </c>
      <c r="BH28" s="214">
        <f>IF(AND(C28="Skema 1",B28="ti"),Skemaoplysninger!$F$30,"")</f>
        <v>0</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0"/>
        <v>0</v>
      </c>
      <c r="CC28" s="1">
        <f t="shared" si="11"/>
        <v>0</v>
      </c>
      <c r="CD28" s="214" t="str">
        <f>IF(AND(C28="Skema 1",B28="ma"),Skemaoplysninger!$E$39,"")</f>
        <v/>
      </c>
      <c r="CE28" s="214">
        <f>IF(AND(C28="Skema 1",B28="ti"),Skemaoplysninger!$F$39,"")</f>
        <v>0</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2"/>
        <v/>
      </c>
      <c r="DL28" t="str">
        <f t="shared" si="12"/>
        <v/>
      </c>
      <c r="DM28" t="str">
        <f t="shared" si="12"/>
        <v/>
      </c>
      <c r="DN28" t="str">
        <f t="shared" si="27"/>
        <v/>
      </c>
    </row>
    <row r="29" spans="1:118">
      <c r="A29" s="249">
        <f t="shared" si="13"/>
        <v>21</v>
      </c>
      <c r="B29" s="132" t="str">
        <f t="shared" si="0"/>
        <v>on</v>
      </c>
      <c r="C29" s="133" t="s">
        <v>209</v>
      </c>
      <c r="D29" s="134" t="str">
        <f t="shared" si="1"/>
        <v/>
      </c>
      <c r="E29" s="871"/>
      <c r="F29" s="872"/>
      <c r="G29" s="873"/>
      <c r="H29" s="313"/>
      <c r="I29" s="582"/>
      <c r="J29" s="440"/>
      <c r="K29" s="405"/>
      <c r="L29" s="405"/>
      <c r="M29" s="405"/>
      <c r="N29" s="334">
        <f t="shared" si="14"/>
        <v>0</v>
      </c>
      <c r="O29" s="334">
        <f t="shared" si="15"/>
        <v>0</v>
      </c>
      <c r="P29" s="334">
        <f>IF(Stamoplysninger!$H$29="JA",Februar!DG29,CX29)</f>
        <v>0</v>
      </c>
      <c r="Q29" s="334">
        <f t="shared" si="16"/>
        <v>0</v>
      </c>
      <c r="R29" s="335"/>
      <c r="S29" s="341"/>
      <c r="T29" s="342"/>
      <c r="U29" s="342"/>
      <c r="V29" s="462"/>
      <c r="W29" s="336"/>
      <c r="X29" s="469"/>
      <c r="Y29">
        <f t="shared" si="17"/>
        <v>0</v>
      </c>
      <c r="Z29" s="467">
        <f t="shared" si="18"/>
        <v>0</v>
      </c>
      <c r="AA29" s="1">
        <f t="shared" si="19"/>
        <v>0</v>
      </c>
      <c r="AB29" s="1">
        <f t="shared" si="2"/>
        <v>0</v>
      </c>
      <c r="AC29" s="1">
        <f t="shared" si="3"/>
        <v>0</v>
      </c>
      <c r="AD29" s="1">
        <f t="shared" si="4"/>
        <v>0</v>
      </c>
      <c r="AE29" s="1">
        <f t="shared" si="5"/>
        <v>0</v>
      </c>
      <c r="AF29" s="1">
        <f>IF(C29="Orlov",7.4*Stamoplysninger!$E$15,0)</f>
        <v>0</v>
      </c>
      <c r="AG29" t="str">
        <f>IF(AND(C29="Skema 1",B29="ma"),Arbejdstidsoversigt!$E$44,"")</f>
        <v/>
      </c>
      <c r="AH29" t="str">
        <f>IF(AND(C29="Skema 1",B29="ti"),Arbejdstidsoversigt!$E$45,"")</f>
        <v/>
      </c>
      <c r="AI29">
        <f>IF(AND(C29="Skema 1",B29="on"),Arbejdstidsoversigt!$E$46,"")</f>
        <v>0</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6"/>
        <v>0</v>
      </c>
      <c r="BC29" s="1">
        <f t="shared" si="21"/>
        <v>0</v>
      </c>
      <c r="BD29" s="1">
        <f t="shared" si="7"/>
        <v>0</v>
      </c>
      <c r="BE29" s="1">
        <f t="shared" si="8"/>
        <v>0</v>
      </c>
      <c r="BF29" s="1">
        <f t="shared" si="9"/>
        <v>0</v>
      </c>
      <c r="BG29" s="214" t="str">
        <f>IF(AND(C29="Skema 1",B29="ma"),Skemaoplysninger!$E$30,"")</f>
        <v/>
      </c>
      <c r="BH29" s="214" t="str">
        <f>IF(AND(C29="Skema 1",B29="ti"),Skemaoplysninger!$F$30,"")</f>
        <v/>
      </c>
      <c r="BI29" s="214">
        <f>IF(AND(C29="Skema 1",B29="on"),Skemaoplysninger!$G$30,"")</f>
        <v>0</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0"/>
        <v>0</v>
      </c>
      <c r="CC29" s="1">
        <f t="shared" si="11"/>
        <v>0</v>
      </c>
      <c r="CD29" s="214" t="str">
        <f>IF(AND(C29="Skema 1",B29="ma"),Skemaoplysninger!$E$39,"")</f>
        <v/>
      </c>
      <c r="CE29" s="214" t="str">
        <f>IF(AND(C29="Skema 1",B29="ti"),Skemaoplysninger!$F$39,"")</f>
        <v/>
      </c>
      <c r="CF29" s="214">
        <f>IF(AND(C29="Skema 1",B29="on"),Skemaoplysninger!$G$39,"")</f>
        <v>0</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2"/>
        <v/>
      </c>
      <c r="DL29" t="str">
        <f t="shared" si="12"/>
        <v/>
      </c>
      <c r="DM29" t="str">
        <f t="shared" si="12"/>
        <v/>
      </c>
      <c r="DN29" t="str">
        <f t="shared" si="27"/>
        <v/>
      </c>
    </row>
    <row r="30" spans="1:118">
      <c r="A30" s="249">
        <f t="shared" si="13"/>
        <v>22</v>
      </c>
      <c r="B30" s="132" t="str">
        <f t="shared" si="0"/>
        <v>to</v>
      </c>
      <c r="C30" s="133" t="s">
        <v>209</v>
      </c>
      <c r="D30" s="134" t="str">
        <f t="shared" si="1"/>
        <v/>
      </c>
      <c r="E30" s="871"/>
      <c r="F30" s="872"/>
      <c r="G30" s="873"/>
      <c r="H30" s="313"/>
      <c r="I30" s="582"/>
      <c r="J30" s="440"/>
      <c r="K30" s="405"/>
      <c r="L30" s="405"/>
      <c r="M30" s="405"/>
      <c r="N30" s="334">
        <f t="shared" si="14"/>
        <v>0</v>
      </c>
      <c r="O30" s="334">
        <f t="shared" si="15"/>
        <v>0</v>
      </c>
      <c r="P30" s="334">
        <f>IF(Stamoplysninger!$H$29="JA",Februar!DG30,CX30)</f>
        <v>0</v>
      </c>
      <c r="Q30" s="334">
        <f t="shared" si="16"/>
        <v>0</v>
      </c>
      <c r="R30" s="335"/>
      <c r="S30" s="341"/>
      <c r="T30" s="342"/>
      <c r="U30" s="342"/>
      <c r="V30" s="462"/>
      <c r="W30" s="336"/>
      <c r="X30" s="469"/>
      <c r="Y30">
        <f t="shared" si="17"/>
        <v>0</v>
      </c>
      <c r="Z30" s="467">
        <f t="shared" si="18"/>
        <v>0</v>
      </c>
      <c r="AA30" s="1">
        <f t="shared" si="19"/>
        <v>0</v>
      </c>
      <c r="AB30" s="1">
        <f t="shared" si="2"/>
        <v>0</v>
      </c>
      <c r="AC30" s="1">
        <f t="shared" si="3"/>
        <v>0</v>
      </c>
      <c r="AD30" s="1">
        <f t="shared" si="4"/>
        <v>0</v>
      </c>
      <c r="AE30" s="1">
        <f t="shared" si="5"/>
        <v>0</v>
      </c>
      <c r="AF30" s="1">
        <f>IF(C30="Orlov",7.4*Stamoplysninger!$E$15,0)</f>
        <v>0</v>
      </c>
      <c r="AG30" t="str">
        <f>IF(AND(C30="Skema 1",B30="ma"),Arbejdstidsoversigt!$E$44,"")</f>
        <v/>
      </c>
      <c r="AH30" t="str">
        <f>IF(AND(C30="Skema 1",B30="ti"),Arbejdstidsoversigt!$E$45,"")</f>
        <v/>
      </c>
      <c r="AI30" t="str">
        <f>IF(AND(C30="Skema 1",B30="on"),Arbejdstidsoversigt!$E$46,"")</f>
        <v/>
      </c>
      <c r="AJ30">
        <f>IF(AND(C30="Skema 1",B30="to"),Arbejdstidsoversigt!$E$47,"")</f>
        <v>0</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6"/>
        <v>0</v>
      </c>
      <c r="BC30" s="1">
        <f t="shared" si="21"/>
        <v>0</v>
      </c>
      <c r="BD30" s="1">
        <f t="shared" si="7"/>
        <v>0</v>
      </c>
      <c r="BE30" s="1">
        <f t="shared" si="8"/>
        <v>0</v>
      </c>
      <c r="BF30" s="1">
        <f t="shared" si="9"/>
        <v>0</v>
      </c>
      <c r="BG30" s="214" t="str">
        <f>IF(AND(C30="Skema 1",B30="ma"),Skemaoplysninger!$E$30,"")</f>
        <v/>
      </c>
      <c r="BH30" s="214" t="str">
        <f>IF(AND(C30="Skema 1",B30="ti"),Skemaoplysninger!$F$30,"")</f>
        <v/>
      </c>
      <c r="BI30" s="214" t="str">
        <f>IF(AND(C30="Skema 1",B30="on"),Skemaoplysninger!$G$30,"")</f>
        <v/>
      </c>
      <c r="BJ30" s="214">
        <f>IF(AND(C30="Skema 1",B30="to"),Skemaoplysninger!$H$30,"")</f>
        <v>0</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0"/>
        <v>0</v>
      </c>
      <c r="CC30" s="1">
        <f t="shared" si="11"/>
        <v>0</v>
      </c>
      <c r="CD30" s="214" t="str">
        <f>IF(AND(C30="Skema 1",B30="ma"),Skemaoplysninger!$E$39,"")</f>
        <v/>
      </c>
      <c r="CE30" s="214" t="str">
        <f>IF(AND(C30="Skema 1",B30="ti"),Skemaoplysninger!$F$39,"")</f>
        <v/>
      </c>
      <c r="CF30" s="214" t="str">
        <f>IF(AND(C30="Skema 1",B30="on"),Skemaoplysninger!$G$39,"")</f>
        <v/>
      </c>
      <c r="CG30" s="214">
        <f>IF(AND(C30="Skema 1",B30="to"),Skemaoplysninger!$H$39,"")</f>
        <v>0</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2"/>
        <v/>
      </c>
      <c r="DL30" t="str">
        <f t="shared" si="12"/>
        <v/>
      </c>
      <c r="DM30" t="str">
        <f t="shared" si="12"/>
        <v/>
      </c>
      <c r="DN30" t="str">
        <f t="shared" si="27"/>
        <v/>
      </c>
    </row>
    <row r="31" spans="1:118">
      <c r="A31" s="249">
        <f t="shared" si="13"/>
        <v>23</v>
      </c>
      <c r="B31" s="132" t="str">
        <f t="shared" si="0"/>
        <v>fr</v>
      </c>
      <c r="C31" s="133" t="s">
        <v>209</v>
      </c>
      <c r="D31" s="134" t="str">
        <f t="shared" si="1"/>
        <v/>
      </c>
      <c r="E31" s="871"/>
      <c r="F31" s="872"/>
      <c r="G31" s="873"/>
      <c r="H31" s="313"/>
      <c r="I31" s="582"/>
      <c r="J31" s="440"/>
      <c r="K31" s="405"/>
      <c r="L31" s="405"/>
      <c r="M31" s="405"/>
      <c r="N31" s="334">
        <f t="shared" si="14"/>
        <v>0</v>
      </c>
      <c r="O31" s="334">
        <f t="shared" si="15"/>
        <v>0</v>
      </c>
      <c r="P31" s="334">
        <f>IF(Stamoplysninger!$H$29="JA",Februar!DG31,CX31)</f>
        <v>0</v>
      </c>
      <c r="Q31" s="334">
        <f t="shared" si="16"/>
        <v>0</v>
      </c>
      <c r="R31" s="335"/>
      <c r="S31" s="341"/>
      <c r="T31" s="342"/>
      <c r="U31" s="342"/>
      <c r="V31" s="462"/>
      <c r="W31" s="336"/>
      <c r="X31" s="469"/>
      <c r="Y31">
        <f t="shared" si="17"/>
        <v>0</v>
      </c>
      <c r="Z31" s="467">
        <f t="shared" si="18"/>
        <v>0</v>
      </c>
      <c r="AA31" s="1">
        <f t="shared" si="19"/>
        <v>0</v>
      </c>
      <c r="AB31" s="1">
        <f t="shared" si="2"/>
        <v>0</v>
      </c>
      <c r="AC31" s="1">
        <f t="shared" si="3"/>
        <v>0</v>
      </c>
      <c r="AD31" s="1">
        <f t="shared" si="4"/>
        <v>0</v>
      </c>
      <c r="AE31" s="1">
        <f t="shared" si="5"/>
        <v>0</v>
      </c>
      <c r="AF31" s="1">
        <f>IF(C31="Orlov",7.4*Stamoplysninger!$E$15,0)</f>
        <v>0</v>
      </c>
      <c r="AG31" t="str">
        <f>IF(AND(C31="Skema 1",B31="ma"),Arbejdstidsoversigt!$E$44,"")</f>
        <v/>
      </c>
      <c r="AH31" t="str">
        <f>IF(AND(C31="Skema 1",B31="ti"),Arbejdstidsoversigt!$E$45,"")</f>
        <v/>
      </c>
      <c r="AI31" t="str">
        <f>IF(AND(C31="Skema 1",B31="on"),Arbejdstidsoversigt!$E$46,"")</f>
        <v/>
      </c>
      <c r="AJ31" t="str">
        <f>IF(AND(C31="Skema 1",B31="to"),Arbejdstidsoversigt!$E$47,"")</f>
        <v/>
      </c>
      <c r="AK31">
        <f>IF(AND(C31="Skema 1",B31="fr"),Arbejdstidsoversigt!$E$48,"")</f>
        <v>0</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6"/>
        <v>0</v>
      </c>
      <c r="BC31" s="1">
        <f t="shared" si="21"/>
        <v>0</v>
      </c>
      <c r="BD31" s="1">
        <f t="shared" si="7"/>
        <v>0</v>
      </c>
      <c r="BE31" s="1">
        <f t="shared" si="8"/>
        <v>0</v>
      </c>
      <c r="BF31" s="1">
        <f t="shared" si="9"/>
        <v>0</v>
      </c>
      <c r="BG31" s="214" t="str">
        <f>IF(AND(C31="Skema 1",B31="ma"),Skemaoplysninger!$E$30,"")</f>
        <v/>
      </c>
      <c r="BH31" s="214" t="str">
        <f>IF(AND(C31="Skema 1",B31="ti"),Skemaoplysninger!$F$30,"")</f>
        <v/>
      </c>
      <c r="BI31" s="214" t="str">
        <f>IF(AND(C31="Skema 1",B31="on"),Skemaoplysninger!$G$30,"")</f>
        <v/>
      </c>
      <c r="BJ31" s="214" t="str">
        <f>IF(AND(C31="Skema 1",B31="to"),Skemaoplysninger!$H$30,"")</f>
        <v/>
      </c>
      <c r="BK31" s="214">
        <f>IF(AND(C31="Skema 1",B31="fr"),Skemaoplysninger!$I$30,"")</f>
        <v>0</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0"/>
        <v>0</v>
      </c>
      <c r="CC31" s="1">
        <f t="shared" si="11"/>
        <v>0</v>
      </c>
      <c r="CD31" s="214" t="str">
        <f>IF(AND(C31="Skema 1",B31="ma"),Skemaoplysninger!$E$39,"")</f>
        <v/>
      </c>
      <c r="CE31" s="214" t="str">
        <f>IF(AND(C31="Skema 1",B31="ti"),Skemaoplysninger!$F$39,"")</f>
        <v/>
      </c>
      <c r="CF31" s="214" t="str">
        <f>IF(AND(C31="Skema 1",B31="on"),Skemaoplysninger!$G$39,"")</f>
        <v/>
      </c>
      <c r="CG31" s="214" t="str">
        <f>IF(AND(C31="Skema 1",B31="to"),Skemaoplysninger!$H$39,"")</f>
        <v/>
      </c>
      <c r="CH31" s="214">
        <f>IF(AND(C31="Skema 1",B31="fr"),Skemaoplysninger!$I$39,"")</f>
        <v>0</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2"/>
        <v/>
      </c>
      <c r="DL31" t="str">
        <f t="shared" si="12"/>
        <v/>
      </c>
      <c r="DM31" t="str">
        <f t="shared" si="12"/>
        <v/>
      </c>
      <c r="DN31" t="str">
        <f t="shared" si="27"/>
        <v/>
      </c>
    </row>
    <row r="32" spans="1:118">
      <c r="A32" s="249">
        <f t="shared" si="13"/>
        <v>24</v>
      </c>
      <c r="B32" s="132" t="str">
        <f t="shared" si="0"/>
        <v>lø</v>
      </c>
      <c r="C32" s="133" t="s">
        <v>121</v>
      </c>
      <c r="D32" s="134" t="str">
        <f t="shared" si="1"/>
        <v/>
      </c>
      <c r="E32" s="868"/>
      <c r="F32" s="869"/>
      <c r="G32" s="870"/>
      <c r="H32" s="313"/>
      <c r="I32" s="440"/>
      <c r="J32" s="440"/>
      <c r="K32" s="405"/>
      <c r="L32" s="405"/>
      <c r="M32" s="405"/>
      <c r="N32" s="334">
        <f t="shared" si="14"/>
        <v>0</v>
      </c>
      <c r="O32" s="334">
        <f t="shared" si="15"/>
        <v>0</v>
      </c>
      <c r="P32" s="334">
        <f>IF(Stamoplysninger!$H$29="JA",Februar!DG32,CX32)</f>
        <v>0</v>
      </c>
      <c r="Q32" s="334">
        <f t="shared" si="16"/>
        <v>0</v>
      </c>
      <c r="R32" s="335"/>
      <c r="S32" s="341"/>
      <c r="T32" s="342"/>
      <c r="U32" s="342"/>
      <c r="V32" s="462"/>
      <c r="W32" s="336"/>
      <c r="X32" s="469"/>
      <c r="Y32">
        <f t="shared" si="17"/>
        <v>0</v>
      </c>
      <c r="Z32" s="467">
        <f t="shared" si="18"/>
        <v>0</v>
      </c>
      <c r="AA32" s="1">
        <f t="shared" si="19"/>
        <v>0</v>
      </c>
      <c r="AB32" s="1">
        <f t="shared" si="2"/>
        <v>0</v>
      </c>
      <c r="AC32" s="1">
        <f t="shared" si="3"/>
        <v>0</v>
      </c>
      <c r="AD32" s="1">
        <f t="shared" si="4"/>
        <v>0</v>
      </c>
      <c r="AE32" s="1">
        <f t="shared" si="5"/>
        <v>0</v>
      </c>
      <c r="AF32" s="1">
        <f>IF(C32="Orlov",7.4*Stamoplysninger!$E$15,0)</f>
        <v>0</v>
      </c>
      <c r="AG32" t="str">
        <f>IF(AND(C32="Skema 1",B32="ma"),Arbejdstidsoversigt!$E$44,"")</f>
        <v/>
      </c>
      <c r="AH32" t="str">
        <f>IF(AND(C32="Skema 1",B32="ti"),Arbejdstidsoversigt!$E$45,"")</f>
        <v/>
      </c>
      <c r="AI32" t="str">
        <f>IF(AND(C32="Skema 1",B32="on"),Arbejdstidsoversigt!$E$46,"")</f>
        <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6"/>
        <v>0</v>
      </c>
      <c r="BC32" s="1">
        <f t="shared" si="21"/>
        <v>0</v>
      </c>
      <c r="BD32" s="1">
        <f t="shared" si="7"/>
        <v>0</v>
      </c>
      <c r="BE32" s="1">
        <f t="shared" si="8"/>
        <v>0</v>
      </c>
      <c r="BF32" s="1">
        <f t="shared" si="9"/>
        <v>0</v>
      </c>
      <c r="BG32" s="214" t="str">
        <f>IF(AND(C32="Skema 1",B32="ma"),Skemaoplysninger!$E$30,"")</f>
        <v/>
      </c>
      <c r="BH32" s="214" t="str">
        <f>IF(AND(C32="Skema 1",B32="ti"),Skemaoplysninger!$F$30,"")</f>
        <v/>
      </c>
      <c r="BI32" s="214" t="str">
        <f>IF(AND(C32="Skema 1",B32="on"),Skemaoplysninger!$G$30,"")</f>
        <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0"/>
        <v>0</v>
      </c>
      <c r="CC32" s="1">
        <f t="shared" si="11"/>
        <v>0</v>
      </c>
      <c r="CD32" s="214" t="str">
        <f>IF(AND(C32="Skema 1",B32="ma"),Skemaoplysninger!$E$39,"")</f>
        <v/>
      </c>
      <c r="CE32" s="214" t="str">
        <f>IF(AND(C32="Skema 1",B32="ti"),Skemaoplysninger!$F$39,"")</f>
        <v/>
      </c>
      <c r="CF32" s="214" t="str">
        <f>IF(AND(C32="Skema 1",B32="on"),Skemaoplysninger!$G$39,"")</f>
        <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f t="shared" si="25"/>
        <v>0</v>
      </c>
      <c r="DJ32">
        <f t="shared" si="26"/>
        <v>0</v>
      </c>
      <c r="DK32" t="str">
        <f t="shared" si="12"/>
        <v/>
      </c>
      <c r="DL32" t="str">
        <f t="shared" si="12"/>
        <v/>
      </c>
      <c r="DM32" t="str">
        <f t="shared" si="12"/>
        <v/>
      </c>
      <c r="DN32" t="str">
        <f t="shared" si="27"/>
        <v/>
      </c>
    </row>
    <row r="33" spans="1:118">
      <c r="A33" s="249">
        <f t="shared" si="13"/>
        <v>25</v>
      </c>
      <c r="B33" s="132" t="str">
        <f t="shared" si="0"/>
        <v>sø</v>
      </c>
      <c r="C33" s="133" t="s">
        <v>121</v>
      </c>
      <c r="D33" s="134" t="str">
        <f t="shared" si="1"/>
        <v/>
      </c>
      <c r="E33" s="871"/>
      <c r="F33" s="872"/>
      <c r="G33" s="873"/>
      <c r="H33" s="313"/>
      <c r="I33" s="440"/>
      <c r="J33" s="440"/>
      <c r="K33" s="405"/>
      <c r="L33" s="405"/>
      <c r="M33" s="405"/>
      <c r="N33" s="334">
        <f t="shared" si="14"/>
        <v>0</v>
      </c>
      <c r="O33" s="334">
        <f t="shared" si="15"/>
        <v>0</v>
      </c>
      <c r="P33" s="334">
        <f>IF(Stamoplysninger!$H$29="JA",Februar!DG33,CX33)</f>
        <v>0</v>
      </c>
      <c r="Q33" s="334">
        <f t="shared" si="16"/>
        <v>0</v>
      </c>
      <c r="R33" s="335"/>
      <c r="S33" s="341"/>
      <c r="T33" s="342"/>
      <c r="U33" s="342"/>
      <c r="V33" s="462"/>
      <c r="W33" s="336"/>
      <c r="X33" s="469"/>
      <c r="Y33">
        <f t="shared" si="17"/>
        <v>0</v>
      </c>
      <c r="Z33" s="467">
        <f t="shared" si="18"/>
        <v>0</v>
      </c>
      <c r="AA33" s="1">
        <f t="shared" si="19"/>
        <v>0</v>
      </c>
      <c r="AB33" s="1">
        <f t="shared" si="2"/>
        <v>0</v>
      </c>
      <c r="AC33" s="1">
        <f t="shared" si="3"/>
        <v>0</v>
      </c>
      <c r="AD33" s="1">
        <f t="shared" si="4"/>
        <v>0</v>
      </c>
      <c r="AE33" s="1">
        <f t="shared" si="5"/>
        <v>0</v>
      </c>
      <c r="AF33" s="1">
        <f>IF(C33="Orlov",7.4*Stamoplysninger!$E$15,0)</f>
        <v>0</v>
      </c>
      <c r="AG33" t="str">
        <f>IF(AND(C33="Skema 1",B33="ma"),Arbejdstidsoversigt!$E$44,"")</f>
        <v/>
      </c>
      <c r="AH33" t="str">
        <f>IF(AND(C33="Skema 1",B33="ti"),Arbejdstidsoversigt!$E$45,"")</f>
        <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6"/>
        <v>0</v>
      </c>
      <c r="BC33" s="1">
        <f t="shared" si="21"/>
        <v>0</v>
      </c>
      <c r="BD33" s="1">
        <f t="shared" si="7"/>
        <v>0</v>
      </c>
      <c r="BE33" s="1">
        <f t="shared" si="8"/>
        <v>0</v>
      </c>
      <c r="BF33" s="1">
        <f t="shared" si="9"/>
        <v>0</v>
      </c>
      <c r="BG33" s="214" t="str">
        <f>IF(AND(C33="Skema 1",B33="ma"),Skemaoplysninger!$E$30,"")</f>
        <v/>
      </c>
      <c r="BH33" s="214" t="str">
        <f>IF(AND(C33="Skema 1",B33="ti"),Skemaoplysninger!$F$30,"")</f>
        <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0"/>
        <v>0</v>
      </c>
      <c r="CC33" s="1">
        <f t="shared" si="11"/>
        <v>0</v>
      </c>
      <c r="CD33" s="214" t="str">
        <f>IF(AND(C33="Skema 1",B33="ma"),Skemaoplysninger!$E$39,"")</f>
        <v/>
      </c>
      <c r="CE33" s="214" t="str">
        <f>IF(AND(C33="Skema 1",B33="ti"),Skemaoplysninger!$F$39,"")</f>
        <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2"/>
        <v/>
      </c>
      <c r="DL33" t="str">
        <f t="shared" si="12"/>
        <v/>
      </c>
      <c r="DM33" t="str">
        <f t="shared" si="12"/>
        <v/>
      </c>
      <c r="DN33" t="str">
        <f t="shared" si="27"/>
        <v/>
      </c>
    </row>
    <row r="34" spans="1:118">
      <c r="A34" s="249">
        <f t="shared" si="13"/>
        <v>26</v>
      </c>
      <c r="B34" s="132" t="str">
        <f t="shared" si="0"/>
        <v>ma</v>
      </c>
      <c r="C34" s="133" t="s">
        <v>209</v>
      </c>
      <c r="D34" s="134">
        <f t="shared" si="1"/>
        <v>9</v>
      </c>
      <c r="E34" s="871"/>
      <c r="F34" s="872"/>
      <c r="G34" s="873"/>
      <c r="H34" s="313"/>
      <c r="I34" s="582"/>
      <c r="J34" s="440"/>
      <c r="K34" s="405"/>
      <c r="L34" s="405"/>
      <c r="M34" s="405"/>
      <c r="N34" s="334">
        <f t="shared" si="14"/>
        <v>0</v>
      </c>
      <c r="O34" s="334">
        <f t="shared" si="15"/>
        <v>0</v>
      </c>
      <c r="P34" s="334">
        <f>IF(Stamoplysninger!$H$29="JA",Februar!DG34,CX34)</f>
        <v>0</v>
      </c>
      <c r="Q34" s="334">
        <f t="shared" si="16"/>
        <v>0</v>
      </c>
      <c r="R34" s="335"/>
      <c r="S34" s="341"/>
      <c r="T34" s="342"/>
      <c r="U34" s="342"/>
      <c r="V34" s="462"/>
      <c r="W34" s="336"/>
      <c r="X34" s="469"/>
      <c r="Y34">
        <f t="shared" si="17"/>
        <v>0</v>
      </c>
      <c r="Z34" s="467">
        <f t="shared" si="18"/>
        <v>0</v>
      </c>
      <c r="AA34" s="1">
        <f t="shared" si="19"/>
        <v>0</v>
      </c>
      <c r="AB34" s="1">
        <f t="shared" si="2"/>
        <v>0</v>
      </c>
      <c r="AC34" s="1">
        <f t="shared" si="3"/>
        <v>0</v>
      </c>
      <c r="AD34" s="1">
        <f t="shared" si="4"/>
        <v>0</v>
      </c>
      <c r="AE34" s="1">
        <f t="shared" si="5"/>
        <v>0</v>
      </c>
      <c r="AF34" s="1">
        <f>IF(C34="Orlov",7.4*Stamoplysninger!$E$15,0)</f>
        <v>0</v>
      </c>
      <c r="AG34">
        <f>IF(AND(C34="Skema 1",B34="ma"),Arbejdstidsoversigt!$E$44,"")</f>
        <v>0</v>
      </c>
      <c r="AH34" t="str">
        <f>IF(AND(C34="Skema 1",B34="ti"),Arbejdstidsoversigt!$E$45,"")</f>
        <v/>
      </c>
      <c r="AI34" t="str">
        <f>IF(AND(C34="Skema 1",B34="on"),Arbejdstidsoversigt!$E$46,"")</f>
        <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6"/>
        <v>0</v>
      </c>
      <c r="BC34" s="1">
        <f t="shared" si="21"/>
        <v>0</v>
      </c>
      <c r="BD34" s="1">
        <f t="shared" si="7"/>
        <v>0</v>
      </c>
      <c r="BE34" s="1">
        <f t="shared" si="8"/>
        <v>0</v>
      </c>
      <c r="BF34" s="1">
        <f t="shared" si="9"/>
        <v>0</v>
      </c>
      <c r="BG34" s="214">
        <f>IF(AND(C34="Skema 1",B34="ma"),Skemaoplysninger!$E$30,"")</f>
        <v>0</v>
      </c>
      <c r="BH34" s="214" t="str">
        <f>IF(AND(C34="Skema 1",B34="ti"),Skemaoplysninger!$F$30,"")</f>
        <v/>
      </c>
      <c r="BI34" s="214" t="str">
        <f>IF(AND(C34="Skema 1",B34="on"),Skemaoplysninger!$G$30,"")</f>
        <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0"/>
        <v>0</v>
      </c>
      <c r="CC34" s="1">
        <f t="shared" si="11"/>
        <v>0</v>
      </c>
      <c r="CD34" s="214">
        <f>IF(AND(C34="Skema 1",B34="ma"),Skemaoplysninger!$E$39,"")</f>
        <v>0</v>
      </c>
      <c r="CE34" s="214" t="str">
        <f>IF(AND(C34="Skema 1",B34="ti"),Skemaoplysninger!$F$39,"")</f>
        <v/>
      </c>
      <c r="CF34" s="214" t="str">
        <f>IF(AND(C34="Skema 1",B34="on"),Skemaoplysninger!$G$39,"")</f>
        <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2"/>
        <v/>
      </c>
      <c r="DL34" t="str">
        <f t="shared" si="12"/>
        <v/>
      </c>
      <c r="DM34" t="str">
        <f t="shared" si="12"/>
        <v/>
      </c>
      <c r="DN34" t="str">
        <f t="shared" si="27"/>
        <v/>
      </c>
    </row>
    <row r="35" spans="1:118">
      <c r="A35" s="249">
        <f t="shared" si="13"/>
        <v>27</v>
      </c>
      <c r="B35" s="132" t="str">
        <f t="shared" si="0"/>
        <v>ti</v>
      </c>
      <c r="C35" s="133" t="s">
        <v>209</v>
      </c>
      <c r="D35" s="134" t="str">
        <f t="shared" si="1"/>
        <v/>
      </c>
      <c r="E35" s="871"/>
      <c r="F35" s="872"/>
      <c r="G35" s="873"/>
      <c r="H35" s="313"/>
      <c r="I35" s="582"/>
      <c r="J35" s="440"/>
      <c r="K35" s="405"/>
      <c r="L35" s="405"/>
      <c r="M35" s="405"/>
      <c r="N35" s="334">
        <f t="shared" si="14"/>
        <v>0</v>
      </c>
      <c r="O35" s="334">
        <f t="shared" si="15"/>
        <v>0</v>
      </c>
      <c r="P35" s="334">
        <f>IF(Stamoplysninger!$H$29="JA",Februar!DG35,CX35)</f>
        <v>0</v>
      </c>
      <c r="Q35" s="334">
        <f t="shared" si="16"/>
        <v>0</v>
      </c>
      <c r="R35" s="335"/>
      <c r="S35" s="341"/>
      <c r="T35" s="342"/>
      <c r="U35" s="342"/>
      <c r="V35" s="462"/>
      <c r="W35" s="336"/>
      <c r="X35" s="469"/>
      <c r="Y35">
        <f t="shared" si="17"/>
        <v>0</v>
      </c>
      <c r="Z35" s="467">
        <f t="shared" si="18"/>
        <v>0</v>
      </c>
      <c r="AA35" s="1">
        <f t="shared" si="19"/>
        <v>0</v>
      </c>
      <c r="AB35" s="1">
        <f t="shared" si="2"/>
        <v>0</v>
      </c>
      <c r="AC35" s="1">
        <f t="shared" si="3"/>
        <v>0</v>
      </c>
      <c r="AD35" s="1">
        <f t="shared" si="4"/>
        <v>0</v>
      </c>
      <c r="AE35" s="1">
        <f t="shared" si="5"/>
        <v>0</v>
      </c>
      <c r="AF35" s="1">
        <f>IF(C35="Orlov",7.4*Stamoplysninger!$E$15,0)</f>
        <v>0</v>
      </c>
      <c r="AG35" t="str">
        <f>IF(AND(C35="Skema 1",B35="ma"),Arbejdstidsoversigt!$E$44,"")</f>
        <v/>
      </c>
      <c r="AH35">
        <f>IF(AND(C35="Skema 1",B35="ti"),Arbejdstidsoversigt!$E$45,"")</f>
        <v>0</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ref="BA35:BA37" si="28">SUM(AA35:AZ35)</f>
        <v>0</v>
      </c>
      <c r="BB35" s="233">
        <f t="shared" ref="BB35:BB37" si="29">SUM(AG35:AK35)*24</f>
        <v>0</v>
      </c>
      <c r="BC35" s="1">
        <f t="shared" ref="BC35:BC37" si="30">IF(C35="Lejrskole",L35,0)</f>
        <v>0</v>
      </c>
      <c r="BD35" s="1">
        <f t="shared" ref="BD35:BD37" si="31">IF(C35="Ekskursion",L35,0)</f>
        <v>0</v>
      </c>
      <c r="BE35" s="1">
        <f t="shared" ref="BE35:BE37" si="32">IF(C35="fagdag",L35,0)</f>
        <v>0</v>
      </c>
      <c r="BF35" s="1">
        <f t="shared" ref="BF35:BF37" si="33">IF(C35="emnedag",L35,0)</f>
        <v>0</v>
      </c>
      <c r="BG35" s="214" t="str">
        <f>IF(AND(C35="Skema 1",B35="ma"),Skemaoplysninger!$E$30,"")</f>
        <v/>
      </c>
      <c r="BH35" s="214">
        <f>IF(AND(C35="Skema 1",B35="ti"),Skemaoplysninger!$F$30,"")</f>
        <v>0</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ref="CA35:CA37" si="34">SUM(BG35:BZ35)*24+SUM(BC35:BF35)</f>
        <v>0</v>
      </c>
      <c r="CB35" s="1">
        <f t="shared" ref="CB35:CB37" si="35">IF(C35="fagdag",M35,0)</f>
        <v>0</v>
      </c>
      <c r="CC35" s="1">
        <f t="shared" ref="CC35:CC37" si="36">IF(C35="emnedag",M35,0)</f>
        <v>0</v>
      </c>
      <c r="CD35" s="214" t="str">
        <f>IF(AND(C35="Skema 1",B35="ma"),Skemaoplysninger!$E$39,"")</f>
        <v/>
      </c>
      <c r="CE35" s="214">
        <f>IF(AND(C35="Skema 1",B35="ti"),Skemaoplysninger!$F$39,"")</f>
        <v>0</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ref="DG35:DG37" si="37">SUM(CY35:DF35)</f>
        <v>0</v>
      </c>
      <c r="DH35" t="str">
        <f t="shared" si="24"/>
        <v/>
      </c>
      <c r="DI35">
        <f t="shared" si="25"/>
        <v>0</v>
      </c>
      <c r="DJ35">
        <f t="shared" si="26"/>
        <v>0</v>
      </c>
      <c r="DK35" t="str">
        <f t="shared" si="12"/>
        <v/>
      </c>
      <c r="DL35" t="str">
        <f t="shared" si="12"/>
        <v/>
      </c>
      <c r="DM35" t="str">
        <f t="shared" si="12"/>
        <v/>
      </c>
      <c r="DN35" t="str">
        <f t="shared" si="27"/>
        <v/>
      </c>
    </row>
    <row r="36" spans="1:118">
      <c r="A36" s="249">
        <f t="shared" si="13"/>
        <v>28</v>
      </c>
      <c r="B36" s="132" t="str">
        <f t="shared" si="0"/>
        <v>on</v>
      </c>
      <c r="C36" s="133" t="s">
        <v>209</v>
      </c>
      <c r="D36" s="134" t="str">
        <f t="shared" si="1"/>
        <v/>
      </c>
      <c r="E36" s="871"/>
      <c r="F36" s="872"/>
      <c r="G36" s="873"/>
      <c r="H36" s="313"/>
      <c r="I36" s="582"/>
      <c r="J36" s="440"/>
      <c r="K36" s="405"/>
      <c r="L36" s="405"/>
      <c r="M36" s="405"/>
      <c r="N36" s="334">
        <f t="shared" si="14"/>
        <v>0</v>
      </c>
      <c r="O36" s="334">
        <f t="shared" si="15"/>
        <v>0</v>
      </c>
      <c r="P36" s="334">
        <f>IF(Stamoplysninger!$H$29="JA",Februar!DG36,CX36)</f>
        <v>0</v>
      </c>
      <c r="Q36" s="334">
        <f t="shared" si="16"/>
        <v>0</v>
      </c>
      <c r="R36" s="335"/>
      <c r="S36" s="341"/>
      <c r="T36" s="342"/>
      <c r="U36" s="342"/>
      <c r="V36" s="462"/>
      <c r="W36" s="336"/>
      <c r="X36" s="469"/>
      <c r="Y36">
        <f t="shared" si="17"/>
        <v>0</v>
      </c>
      <c r="Z36" s="467">
        <f t="shared" ref="Z36:Z37" si="38">W36</f>
        <v>0</v>
      </c>
      <c r="AA36" s="1">
        <f t="shared" ref="AA36:AA37" si="39">IF(C36="emnedag",K36,0)</f>
        <v>0</v>
      </c>
      <c r="AB36" s="1">
        <f t="shared" ref="AB36:AB37" si="40">IF(C36="fagdag",K36,0)</f>
        <v>0</v>
      </c>
      <c r="AC36" s="1">
        <f t="shared" ref="AC36:AC37" si="41">IF(C36="Pæd.dag",K36,0)</f>
        <v>0</v>
      </c>
      <c r="AD36" s="1">
        <f t="shared" ref="AD36:AD37" si="42">IF(C36="Ekskursion",K36,0)</f>
        <v>0</v>
      </c>
      <c r="AE36" s="1">
        <f t="shared" ref="AE36:AE37" si="43">IF(C36="Lejrskole",K36,0)</f>
        <v>0</v>
      </c>
      <c r="AF36" s="1">
        <f>IF(C36="Orlov",7.4*Stamoplysninger!$E$15,0)</f>
        <v>0</v>
      </c>
      <c r="AG36" t="str">
        <f>IF(AND(C36="Skema 1",B36="ma"),Arbejdstidsoversigt!$E$44,"")</f>
        <v/>
      </c>
      <c r="AH36" t="str">
        <f>IF(AND(C36="Skema 1",B36="ti"),Arbejdstidsoversigt!$E$45,"")</f>
        <v/>
      </c>
      <c r="AI36">
        <f>IF(AND(C36="Skema 1",B36="on"),Arbejdstidsoversigt!$E$46,"")</f>
        <v>0</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8"/>
        <v>0</v>
      </c>
      <c r="BB36" s="233">
        <f t="shared" si="29"/>
        <v>0</v>
      </c>
      <c r="BC36" s="1">
        <f t="shared" si="30"/>
        <v>0</v>
      </c>
      <c r="BD36" s="1">
        <f t="shared" si="31"/>
        <v>0</v>
      </c>
      <c r="BE36" s="1">
        <f t="shared" si="32"/>
        <v>0</v>
      </c>
      <c r="BF36" s="1">
        <f t="shared" si="33"/>
        <v>0</v>
      </c>
      <c r="BG36" s="214" t="str">
        <f>IF(AND(C36="Skema 1",B36="ma"),Skemaoplysninger!$E$30,"")</f>
        <v/>
      </c>
      <c r="BH36" s="214" t="str">
        <f>IF(AND(C36="Skema 1",B36="ti"),Skemaoplysninger!$F$30,"")</f>
        <v/>
      </c>
      <c r="BI36" s="214">
        <f>IF(AND(C36="Skema 1",B36="on"),Skemaoplysninger!$G$30,"")</f>
        <v>0</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34"/>
        <v>0</v>
      </c>
      <c r="CB36" s="1">
        <f t="shared" si="35"/>
        <v>0</v>
      </c>
      <c r="CC36" s="1">
        <f t="shared" si="36"/>
        <v>0</v>
      </c>
      <c r="CD36" s="214" t="str">
        <f>IF(AND(C36="Skema 1",B36="ma"),Skemaoplysninger!$E$39,"")</f>
        <v/>
      </c>
      <c r="CE36" s="214" t="str">
        <f>IF(AND(C36="Skema 1",B36="ti"),Skemaoplysninger!$F$39,"")</f>
        <v/>
      </c>
      <c r="CF36" s="214">
        <f>IF(AND(C36="Skema 1",B36="on"),Skemaoplysninger!$G$39,"")</f>
        <v>0</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37"/>
        <v>0</v>
      </c>
      <c r="DH36" t="str">
        <f t="shared" si="24"/>
        <v/>
      </c>
      <c r="DI36">
        <f>IF(H36="",E36,"")</f>
        <v>0</v>
      </c>
      <c r="DJ36">
        <f>IF(E36="",H36,"")</f>
        <v>0</v>
      </c>
      <c r="DK36" t="str">
        <f t="shared" ref="DK36:DM38" si="44">IF(DH36=0,"",DH36)</f>
        <v/>
      </c>
      <c r="DL36" t="str">
        <f t="shared" si="44"/>
        <v/>
      </c>
      <c r="DM36" t="str">
        <f t="shared" si="44"/>
        <v/>
      </c>
      <c r="DN36" t="str">
        <f>DK36&amp;""&amp;DL36&amp;""&amp;DM36</f>
        <v/>
      </c>
    </row>
    <row r="37" spans="1:118">
      <c r="A37" s="249">
        <f t="shared" si="13"/>
        <v>29</v>
      </c>
      <c r="B37" s="132" t="str">
        <f t="shared" ref="B37" si="45">CHOOSE(MOD(WEEKDAY(DATE(A$6,A$2,A37)),7)+1,"lø","sø","ma","ti","on","to","fr",)</f>
        <v>to</v>
      </c>
      <c r="C37" s="133" t="s">
        <v>209</v>
      </c>
      <c r="D37" s="134" t="str">
        <f t="shared" ref="D37" si="46">IF(B37="ma",(DATE(A$6,A$2,A37)-DATE(A$6,1,1)+7)/7,"")</f>
        <v/>
      </c>
      <c r="E37" s="871"/>
      <c r="F37" s="872"/>
      <c r="G37" s="873"/>
      <c r="H37" s="313"/>
      <c r="I37" s="582"/>
      <c r="J37" s="440"/>
      <c r="K37" s="405"/>
      <c r="L37" s="405"/>
      <c r="M37" s="405"/>
      <c r="N37" s="334">
        <f t="shared" ref="N37" si="47">BA37</f>
        <v>0</v>
      </c>
      <c r="O37" s="334">
        <f t="shared" ref="O37" si="48">CA37</f>
        <v>0</v>
      </c>
      <c r="P37" s="334">
        <f>IF(Stamoplysninger!$H$29="JA",Februar!DG37,CX37)</f>
        <v>0</v>
      </c>
      <c r="Q37" s="334">
        <f t="shared" ref="Q37" si="49">IF(OR(C37="Lejrskole",C37="Ekskursion"),0,N37-O37-P37)</f>
        <v>0</v>
      </c>
      <c r="R37" s="335"/>
      <c r="S37" s="341"/>
      <c r="T37" s="342"/>
      <c r="U37" s="342"/>
      <c r="V37" s="462"/>
      <c r="W37" s="336"/>
      <c r="X37" s="469"/>
      <c r="Y37">
        <f t="shared" si="17"/>
        <v>0</v>
      </c>
      <c r="Z37" s="467">
        <f t="shared" si="38"/>
        <v>0</v>
      </c>
      <c r="AA37" s="1">
        <f t="shared" si="39"/>
        <v>0</v>
      </c>
      <c r="AB37" s="1">
        <f t="shared" si="40"/>
        <v>0</v>
      </c>
      <c r="AC37" s="1">
        <f t="shared" si="41"/>
        <v>0</v>
      </c>
      <c r="AD37" s="1">
        <f t="shared" si="42"/>
        <v>0</v>
      </c>
      <c r="AE37" s="1">
        <f t="shared" si="43"/>
        <v>0</v>
      </c>
      <c r="AF37" s="1">
        <f>IF(C37="Orlov",7.4*Stamoplysninger!$E$15,0)</f>
        <v>0</v>
      </c>
      <c r="AG37" t="str">
        <f>IF(AND(C37="Skema 1",B37="ma"),Arbejdstidsoversigt!$E$44,"")</f>
        <v/>
      </c>
      <c r="AH37" t="str">
        <f>IF(AND(C37="Skema 1",B37="ti"),Arbejdstidsoversigt!$E$45,"")</f>
        <v/>
      </c>
      <c r="AI37" t="str">
        <f>IF(AND(C37="Skema 1",B37="on"),Arbejdstidsoversigt!$E$46,"")</f>
        <v/>
      </c>
      <c r="AJ37">
        <f>IF(AND(C37="Skema 1",B37="to"),Arbejdstidsoversigt!$E$47,"")</f>
        <v>0</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8"/>
        <v>0</v>
      </c>
      <c r="BB37" s="233">
        <f t="shared" si="29"/>
        <v>0</v>
      </c>
      <c r="BC37" s="1">
        <f t="shared" si="30"/>
        <v>0</v>
      </c>
      <c r="BD37" s="1">
        <f t="shared" si="31"/>
        <v>0</v>
      </c>
      <c r="BE37" s="1">
        <f t="shared" si="32"/>
        <v>0</v>
      </c>
      <c r="BF37" s="1">
        <f t="shared" si="33"/>
        <v>0</v>
      </c>
      <c r="BG37" s="214" t="str">
        <f>IF(AND(C37="Skema 1",B37="ma"),Skemaoplysninger!$E$30,"")</f>
        <v/>
      </c>
      <c r="BH37" s="214" t="str">
        <f>IF(AND(C37="Skema 1",B37="ti"),Skemaoplysninger!$F$30,"")</f>
        <v/>
      </c>
      <c r="BI37" s="214" t="str">
        <f>IF(AND(C37="Skema 1",B37="on"),Skemaoplysninger!$G$30,"")</f>
        <v/>
      </c>
      <c r="BJ37" s="214">
        <f>IF(AND(C37="Skema 1",B37="to"),Skemaoplysninger!$H$30,"")</f>
        <v>0</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34"/>
        <v>0</v>
      </c>
      <c r="CB37" s="1">
        <f t="shared" si="35"/>
        <v>0</v>
      </c>
      <c r="CC37" s="1">
        <f t="shared" si="36"/>
        <v>0</v>
      </c>
      <c r="CD37" s="214" t="str">
        <f>IF(AND(C37="Skema 1",B37="ma"),Skemaoplysninger!$E$39,"")</f>
        <v/>
      </c>
      <c r="CE37" s="214" t="str">
        <f>IF(AND(C37="Skema 1",B37="ti"),Skemaoplysninger!$F$39,"")</f>
        <v/>
      </c>
      <c r="CF37" s="214" t="str">
        <f>IF(AND(C37="Skema 1",B37="on"),Skemaoplysninger!$G$39,"")</f>
        <v/>
      </c>
      <c r="CG37" s="214">
        <f>IF(AND(C37="Skema 1",B37="to"),Skemaoplysninger!$H$39,"")</f>
        <v>0</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37"/>
        <v>0</v>
      </c>
      <c r="DH37" t="str">
        <f t="shared" si="24"/>
        <v/>
      </c>
      <c r="DI37">
        <f>IF(H37="",E37,"")</f>
        <v>0</v>
      </c>
      <c r="DJ37">
        <f>IF(E37="",H37,"")</f>
        <v>0</v>
      </c>
      <c r="DK37" t="str">
        <f t="shared" si="44"/>
        <v/>
      </c>
      <c r="DL37" t="str">
        <f t="shared" si="44"/>
        <v/>
      </c>
      <c r="DM37" t="str">
        <f t="shared" si="44"/>
        <v/>
      </c>
      <c r="DN37" t="str">
        <f>DK37&amp;""&amp;DL37&amp;""&amp;DM37</f>
        <v/>
      </c>
    </row>
    <row r="38" spans="1:118" ht="17" thickBot="1">
      <c r="A38" s="889" t="s">
        <v>263</v>
      </c>
      <c r="B38" s="890"/>
      <c r="C38" s="890"/>
      <c r="D38" s="890"/>
      <c r="E38" s="890"/>
      <c r="F38" s="890"/>
      <c r="G38" s="890"/>
      <c r="H38" s="890"/>
      <c r="I38" s="891"/>
      <c r="J38" s="329"/>
      <c r="K38" s="338"/>
      <c r="L38" s="338"/>
      <c r="M38" s="338"/>
      <c r="N38" s="339">
        <f>SUM(N9:N37)</f>
        <v>0</v>
      </c>
      <c r="O38" s="339">
        <f>SUM(O9:O37)</f>
        <v>0</v>
      </c>
      <c r="P38" s="339">
        <f>SUM(P9:P37)</f>
        <v>0</v>
      </c>
      <c r="Q38" s="339">
        <f>SUM(Q9:Q37)</f>
        <v>0</v>
      </c>
      <c r="R38" s="340">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f>
        <v>0</v>
      </c>
      <c r="S38" s="341"/>
      <c r="T38" s="342"/>
      <c r="U38" s="342"/>
      <c r="V38" s="460">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f>
        <v>0</v>
      </c>
      <c r="W38" s="460">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f>
        <v>0</v>
      </c>
      <c r="X38" s="461">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f>
        <v>0</v>
      </c>
      <c r="Y38" s="460">
        <f>Y9+Y10+Y11+Y12+Y13+Y14+Y15+Y16+Y17+Y18+Y19+Y20+Y21+Y22+Y23+Y24+Y25+Y26+Y27+Y28+Y29+Y30+Y31+Y32+Y33+Y34+Y35+Y36+Y37</f>
        <v>0</v>
      </c>
      <c r="Z38" s="460">
        <f>Z9+Z10+Z11+Z12+Z13+Z14+Z15+Z16+Z17+Z18+Z19+Z20+Z21+Z22+Z23+Z24+Z25+Z26+Z27+Z28+Z29+Z30+Z31+Z32+Z33+Z34+Z35+Z36+Z37</f>
        <v>0</v>
      </c>
      <c r="AA38" s="239">
        <f>SUM(AA9:AA37)</f>
        <v>0</v>
      </c>
      <c r="AB38" s="239">
        <f t="shared" ref="AB38:AD38" si="50">SUM(AB9:AB37)</f>
        <v>0</v>
      </c>
      <c r="AC38" s="239">
        <f t="shared" si="50"/>
        <v>0</v>
      </c>
      <c r="AD38" s="239">
        <f t="shared" si="50"/>
        <v>0</v>
      </c>
      <c r="AE38" s="239">
        <f>SUM(AE9:AE37)</f>
        <v>0</v>
      </c>
      <c r="AF38" s="239">
        <f>SUM(AF9:AF37)</f>
        <v>0</v>
      </c>
      <c r="BA38" s="1">
        <f>SUM(BA9:BA37)</f>
        <v>0</v>
      </c>
      <c r="BB38" s="116"/>
      <c r="BC38" s="239">
        <f>SUM(BC9:BC37)</f>
        <v>0</v>
      </c>
      <c r="BD38" s="239">
        <f t="shared" ref="BD38:BF38" si="51">SUM(BD9:BD37)</f>
        <v>0</v>
      </c>
      <c r="BE38" s="239">
        <f t="shared" si="51"/>
        <v>0</v>
      </c>
      <c r="BF38" s="239">
        <f t="shared" si="51"/>
        <v>0</v>
      </c>
      <c r="CA38" s="239">
        <f>SUM(CA9:CA37)</f>
        <v>0</v>
      </c>
      <c r="CB38" s="239">
        <f t="shared" ref="CB38" si="52">SUM(CB9:CB37)</f>
        <v>0</v>
      </c>
      <c r="CC38" s="239">
        <f>SUM(CC9:CC37)</f>
        <v>0</v>
      </c>
      <c r="CX38" s="254">
        <f>SUM(CX9:CX37)</f>
        <v>0</v>
      </c>
      <c r="CY38" s="254">
        <f>SUM(CY9:CY37)</f>
        <v>0</v>
      </c>
      <c r="CZ38" s="254">
        <f t="shared" ref="CZ38:DG38" si="53">SUM(CZ9:CZ37)</f>
        <v>0</v>
      </c>
      <c r="DA38" s="254">
        <f t="shared" si="53"/>
        <v>0</v>
      </c>
      <c r="DB38" s="254">
        <f t="shared" si="53"/>
        <v>0</v>
      </c>
      <c r="DC38" s="254">
        <f t="shared" si="53"/>
        <v>0</v>
      </c>
      <c r="DD38" s="254">
        <f t="shared" si="53"/>
        <v>0</v>
      </c>
      <c r="DE38" s="254">
        <f t="shared" si="53"/>
        <v>0</v>
      </c>
      <c r="DF38" s="254">
        <f t="shared" si="53"/>
        <v>0</v>
      </c>
      <c r="DG38" s="254">
        <f t="shared" si="53"/>
        <v>0</v>
      </c>
      <c r="DH38" t="str">
        <f t="shared" si="24"/>
        <v/>
      </c>
      <c r="DI38">
        <f>IF(H38="",E38,"")</f>
        <v>0</v>
      </c>
      <c r="DJ38">
        <f>IF(E38="",H38,"")</f>
        <v>0</v>
      </c>
      <c r="DK38" t="str">
        <f t="shared" si="44"/>
        <v/>
      </c>
      <c r="DL38" t="str">
        <f t="shared" si="44"/>
        <v/>
      </c>
      <c r="DM38" t="str">
        <f t="shared" si="44"/>
        <v/>
      </c>
      <c r="DN38" t="str">
        <f>DK38&amp;""&amp;DL38&amp;""&amp;DM38</f>
        <v/>
      </c>
    </row>
    <row r="39" spans="1:118" ht="26" thickBot="1">
      <c r="A39" s="236"/>
      <c r="B39" s="236"/>
      <c r="C39" s="236"/>
      <c r="D39" s="236"/>
      <c r="E39" s="236"/>
      <c r="F39" s="236"/>
      <c r="G39" s="236"/>
      <c r="H39" s="236"/>
      <c r="I39" s="236"/>
      <c r="J39" s="236"/>
      <c r="K39" s="243"/>
      <c r="L39" s="243"/>
      <c r="M39" s="218"/>
      <c r="N39" s="218"/>
      <c r="O39" s="218"/>
      <c r="P39" s="218"/>
      <c r="Q39" s="218"/>
      <c r="R39" s="218"/>
      <c r="S39" s="479"/>
      <c r="T39" s="479"/>
      <c r="U39" s="479"/>
      <c r="V39" s="479"/>
      <c r="W39" s="479"/>
      <c r="X39" s="479"/>
      <c r="Y39" s="479"/>
      <c r="Z39" s="479"/>
      <c r="AA39" s="480"/>
      <c r="AB39" s="215"/>
      <c r="AC39" s="215"/>
      <c r="AD39" s="239"/>
      <c r="AE39" s="239"/>
      <c r="AF39" s="239"/>
      <c r="AG39" s="239"/>
      <c r="BC39" s="239"/>
      <c r="BD39" s="239"/>
      <c r="BE39" s="239"/>
      <c r="BF39" s="239"/>
      <c r="BG39" s="116"/>
      <c r="CB39" s="239"/>
      <c r="CC39" s="239"/>
      <c r="CD39" s="116"/>
      <c r="CX39" s="253"/>
      <c r="CZ39"/>
      <c r="DH39" t="str">
        <f t="shared" si="24"/>
        <v/>
      </c>
      <c r="DK39" t="str">
        <f t="shared" ref="DK39:DM39" si="54">IF(DH39=0,"",DH39)</f>
        <v/>
      </c>
      <c r="DL39" t="str">
        <f t="shared" si="54"/>
        <v/>
      </c>
      <c r="DM39" t="str">
        <f t="shared" si="54"/>
        <v/>
      </c>
      <c r="DN39" t="str">
        <f t="shared" si="27"/>
        <v/>
      </c>
    </row>
    <row r="40" spans="1:118" ht="70" customHeight="1">
      <c r="A40" s="875" t="str">
        <f>"Arbejdstid for "&amp;A7&amp;" måned:"</f>
        <v>Arbejdstid for Februar måned:</v>
      </c>
      <c r="B40" s="876"/>
      <c r="C40" s="876"/>
      <c r="D40" s="876"/>
      <c r="E40" s="876"/>
      <c r="F40" s="876"/>
      <c r="G40" s="876"/>
      <c r="H40" s="347" t="s">
        <v>258</v>
      </c>
      <c r="I40" s="876" t="s">
        <v>224</v>
      </c>
      <c r="J40" s="877"/>
      <c r="K40" s="878"/>
      <c r="L40" s="267"/>
      <c r="M40" s="843" t="str">
        <f>"Ulempetimer og weekendtimer i "&amp;A5&amp;""</f>
        <v>Ulempetimer og weekendtimer i Februar måneds kalender for: . Måneden vedr. normperioden:  - .</v>
      </c>
      <c r="N40" s="844"/>
      <c r="O40" s="844"/>
      <c r="P40" s="844"/>
      <c r="Q40" s="844"/>
      <c r="R40" s="844"/>
      <c r="S40" s="844"/>
      <c r="T40" s="844"/>
      <c r="U40" s="844"/>
      <c r="V40" s="844"/>
      <c r="W40" s="844"/>
      <c r="X40" s="845"/>
      <c r="Y40" s="243"/>
      <c r="Z40"/>
      <c r="AC40" s="94"/>
      <c r="AD40" s="94"/>
      <c r="BL40" s="1"/>
      <c r="CI40" s="1"/>
      <c r="CT40" s="253"/>
      <c r="CU40" s="253"/>
      <c r="CY40"/>
      <c r="CZ40"/>
    </row>
    <row r="41" spans="1:118">
      <c r="A41" s="879" t="s">
        <v>601</v>
      </c>
      <c r="B41" s="880"/>
      <c r="C41" s="880"/>
      <c r="D41" s="880"/>
      <c r="E41" s="880"/>
      <c r="F41" s="880"/>
      <c r="G41" s="880"/>
      <c r="H41" s="261">
        <f>D76</f>
        <v>21</v>
      </c>
      <c r="I41" s="892">
        <f>IF(Stamoplysninger!$E$12="Ja",1924/Arbejdstidsoversigt!$K$9*Stamoplysninger!$E$15*H41,H41*7.4*Stamoplysninger!$E$15)</f>
        <v>0</v>
      </c>
      <c r="J41" s="893"/>
      <c r="K41" s="894"/>
      <c r="L41" s="263"/>
      <c r="M41" s="846" t="s">
        <v>318</v>
      </c>
      <c r="N41" s="847"/>
      <c r="O41" s="847"/>
      <c r="P41" s="847"/>
      <c r="Q41" s="847"/>
      <c r="R41" s="847"/>
      <c r="S41" s="847"/>
      <c r="T41" s="847"/>
      <c r="U41" s="848"/>
      <c r="V41" s="990">
        <f>M71+S70+T70+M74+M78+M72+N71+N78</f>
        <v>0</v>
      </c>
      <c r="W41" s="990"/>
      <c r="X41" s="991"/>
      <c r="Y41" s="243"/>
      <c r="Z41"/>
      <c r="AC41" s="94"/>
      <c r="AD41" s="94"/>
      <c r="BL41" s="1"/>
      <c r="CI41" s="1"/>
      <c r="CT41" s="253"/>
      <c r="CU41" s="253"/>
      <c r="CY41"/>
      <c r="CZ41"/>
    </row>
    <row r="42" spans="1:118">
      <c r="A42" s="879" t="str">
        <f>"Ferie "&amp;A7&amp;" måned"</f>
        <v>Ferie Februar måned</v>
      </c>
      <c r="B42" s="880"/>
      <c r="C42" s="880"/>
      <c r="D42" s="880"/>
      <c r="E42" s="880"/>
      <c r="F42" s="880"/>
      <c r="G42" s="880"/>
      <c r="H42" s="262" t="str">
        <f>IF(D71&gt;0,$D$71,"0")</f>
        <v>0</v>
      </c>
      <c r="I42" s="881">
        <f>H42*7.4*Stamoplysninger!$E$15</f>
        <v>0</v>
      </c>
      <c r="J42" s="882"/>
      <c r="K42" s="883"/>
      <c r="L42" s="263"/>
      <c r="M42" s="852" t="s">
        <v>262</v>
      </c>
      <c r="N42" s="853"/>
      <c r="O42" s="853"/>
      <c r="P42" s="853"/>
      <c r="Q42" s="853"/>
      <c r="R42" s="853"/>
      <c r="S42" s="853"/>
      <c r="T42" s="853"/>
      <c r="U42" s="854"/>
      <c r="V42" s="992">
        <f>M70+S69+T69+M73+M77+M69+N69+N77</f>
        <v>0</v>
      </c>
      <c r="W42" s="992"/>
      <c r="X42" s="993"/>
      <c r="Y42" s="243"/>
      <c r="Z42"/>
      <c r="AC42" s="94"/>
      <c r="AD42" s="94"/>
      <c r="BL42" s="1"/>
      <c r="CI42" s="1"/>
      <c r="CT42" s="253"/>
      <c r="CU42" s="253"/>
      <c r="CY42"/>
      <c r="CZ42"/>
    </row>
    <row r="43" spans="1:118">
      <c r="A43" s="879" t="str">
        <f>"Søgnehelligdage i "&amp;A7&amp;" måned"</f>
        <v>Søgnehelligdage i Februar måned</v>
      </c>
      <c r="B43" s="880"/>
      <c r="C43" s="880"/>
      <c r="D43" s="880"/>
      <c r="E43" s="880"/>
      <c r="F43" s="880"/>
      <c r="G43" s="880"/>
      <c r="H43" s="262">
        <f>IF(D70&gt;0,D70,0)</f>
        <v>0</v>
      </c>
      <c r="I43" s="881">
        <f>H43*7.4*Stamoplysninger!$E$15</f>
        <v>0</v>
      </c>
      <c r="J43" s="882"/>
      <c r="K43" s="883"/>
      <c r="L43" s="264"/>
      <c r="M43" s="1034" t="s">
        <v>301</v>
      </c>
      <c r="N43" s="1035"/>
      <c r="O43" s="1035"/>
      <c r="P43" s="1035"/>
      <c r="Q43" s="1035"/>
      <c r="R43" s="1035"/>
      <c r="S43" s="1035"/>
      <c r="T43" s="1035"/>
      <c r="U43" s="1036"/>
      <c r="V43" s="1037">
        <f>Januar!V53</f>
        <v>0</v>
      </c>
      <c r="W43" s="1038"/>
      <c r="X43" s="1039"/>
      <c r="Y43" s="243"/>
      <c r="Z43"/>
      <c r="AC43" s="94"/>
      <c r="AD43" s="94"/>
      <c r="BL43" s="1"/>
      <c r="CI43" s="1"/>
      <c r="CT43" s="253"/>
      <c r="CU43" s="253"/>
      <c r="CY43"/>
      <c r="CZ43"/>
    </row>
    <row r="44" spans="1:118">
      <c r="A44" s="879" t="str">
        <f>"Nettoarbejdstid ialt i "&amp;A7&amp;" måned"</f>
        <v>Nettoarbejdstid ialt i Februar måned</v>
      </c>
      <c r="B44" s="880"/>
      <c r="C44" s="880"/>
      <c r="D44" s="880"/>
      <c r="E44" s="880"/>
      <c r="F44" s="880"/>
      <c r="G44" s="880"/>
      <c r="H44" s="265">
        <f>H41-H42-H43</f>
        <v>21</v>
      </c>
      <c r="I44" s="881">
        <f>I41-I42-I43</f>
        <v>0</v>
      </c>
      <c r="J44" s="882"/>
      <c r="K44" s="883"/>
      <c r="L44" s="264"/>
      <c r="M44" s="862" t="s">
        <v>308</v>
      </c>
      <c r="N44" s="863"/>
      <c r="O44" s="863"/>
      <c r="P44" s="863"/>
      <c r="Q44" s="863"/>
      <c r="R44" s="863"/>
      <c r="S44" s="863"/>
      <c r="T44" s="863"/>
      <c r="U44" s="864"/>
      <c r="V44" s="865">
        <f>V42+V43</f>
        <v>0</v>
      </c>
      <c r="W44" s="866"/>
      <c r="X44" s="1040"/>
      <c r="Y44" s="243"/>
      <c r="Z44"/>
      <c r="AC44" s="94"/>
      <c r="AD44" s="94"/>
      <c r="BL44" s="1"/>
      <c r="CI44" s="1"/>
      <c r="CT44" s="253"/>
      <c r="CU44" s="253"/>
      <c r="CY44"/>
      <c r="CZ44"/>
    </row>
    <row r="45" spans="1:118">
      <c r="A45" s="895" t="str">
        <f>"Planlagt arbejdstid efter ovennstående "&amp;A7&amp;" måned kalender"</f>
        <v>Planlagt arbejdstid efter ovennstående Februar måned kalender</v>
      </c>
      <c r="B45" s="896"/>
      <c r="C45" s="896"/>
      <c r="D45" s="896"/>
      <c r="E45" s="896"/>
      <c r="F45" s="896"/>
      <c r="G45" s="896"/>
      <c r="H45" s="521">
        <f>D62+D63+D64+D65+D66+D67+D68</f>
        <v>16</v>
      </c>
      <c r="I45" s="897">
        <f>N38+R38-J65</f>
        <v>0</v>
      </c>
      <c r="J45" s="834"/>
      <c r="K45" s="898"/>
      <c r="L45" s="414"/>
      <c r="M45" s="817" t="s">
        <v>299</v>
      </c>
      <c r="N45" s="818"/>
      <c r="O45" s="818"/>
      <c r="P45" s="818"/>
      <c r="Q45" s="818"/>
      <c r="R45" s="818"/>
      <c r="S45" s="818"/>
      <c r="T45" s="818"/>
      <c r="U45" s="818"/>
      <c r="V45" s="818"/>
      <c r="W45" s="818"/>
      <c r="X45" s="1032"/>
      <c r="Y45" s="243"/>
      <c r="Z45"/>
      <c r="AC45" s="94"/>
      <c r="AD45" s="94"/>
      <c r="BL45" s="1"/>
      <c r="CI45" s="1"/>
      <c r="CT45" s="253"/>
      <c r="CU45" s="253"/>
      <c r="CY45"/>
      <c r="CZ45"/>
    </row>
    <row r="46" spans="1:118">
      <c r="A46" s="902" t="s">
        <v>492</v>
      </c>
      <c r="B46" s="903"/>
      <c r="C46" s="903"/>
      <c r="D46" s="903"/>
      <c r="E46" s="903"/>
      <c r="F46" s="903"/>
      <c r="G46" s="903"/>
      <c r="H46" s="904"/>
      <c r="I46" s="899">
        <f>(M69+M71+M79+M81+M75+M76+M80)*-1</f>
        <v>0</v>
      </c>
      <c r="J46" s="900"/>
      <c r="K46" s="901"/>
      <c r="L46" s="415"/>
      <c r="M46" s="820" t="s">
        <v>506</v>
      </c>
      <c r="N46" s="821"/>
      <c r="O46" s="821"/>
      <c r="P46" s="821"/>
      <c r="Q46" s="821"/>
      <c r="R46" s="821"/>
      <c r="S46" s="821"/>
      <c r="T46" s="821"/>
      <c r="U46" s="822"/>
      <c r="V46" s="823" t="s">
        <v>224</v>
      </c>
      <c r="W46" s="824"/>
      <c r="X46" s="1033"/>
      <c r="Y46" s="243"/>
      <c r="Z46"/>
      <c r="AC46" s="94"/>
      <c r="AD46" s="94"/>
      <c r="BL46" s="1"/>
      <c r="CI46" s="1"/>
      <c r="CT46" s="253"/>
      <c r="CU46" s="253"/>
      <c r="CY46"/>
      <c r="CZ46"/>
    </row>
    <row r="47" spans="1:118">
      <c r="A47" s="837" t="str">
        <f>"Arbejde særligt planlagt for "&amp;A7&amp;" måned efter fanen skemaoplysninger"</f>
        <v>Arbejde særligt planlagt for Februar måned efter fanen skemaoplysninger</v>
      </c>
      <c r="B47" s="838"/>
      <c r="C47" s="838"/>
      <c r="D47" s="838"/>
      <c r="E47" s="838"/>
      <c r="F47" s="838"/>
      <c r="G47" s="838"/>
      <c r="H47" s="839"/>
      <c r="I47" s="834">
        <f>Skemaoplysninger!Q91</f>
        <v>0</v>
      </c>
      <c r="J47" s="835"/>
      <c r="K47" s="836"/>
      <c r="L47" s="245"/>
      <c r="M47" s="805"/>
      <c r="N47" s="806"/>
      <c r="O47" s="806"/>
      <c r="P47" s="806"/>
      <c r="Q47" s="806"/>
      <c r="R47" s="806"/>
      <c r="S47" s="806"/>
      <c r="T47" s="806"/>
      <c r="U47" s="807"/>
      <c r="V47" s="826"/>
      <c r="W47" s="826"/>
      <c r="X47" s="827"/>
      <c r="Y47" s="243"/>
      <c r="Z47" s="243"/>
      <c r="AE47" s="94"/>
      <c r="AG47" s="94"/>
      <c r="AZ47" s="243"/>
      <c r="BN47" s="1"/>
      <c r="CK47" s="1"/>
      <c r="CU47" s="253"/>
      <c r="CV47" s="253"/>
      <c r="CY47"/>
      <c r="CZ47"/>
    </row>
    <row r="48" spans="1:118">
      <c r="A48" s="884" t="s">
        <v>296</v>
      </c>
      <c r="B48" s="885"/>
      <c r="C48" s="885"/>
      <c r="D48" s="885"/>
      <c r="E48" s="885"/>
      <c r="F48" s="885"/>
      <c r="G48" s="885"/>
      <c r="H48" s="885"/>
      <c r="I48" s="1027">
        <f>V38+X38-N66-N64-P64</f>
        <v>0</v>
      </c>
      <c r="J48" s="899"/>
      <c r="K48" s="1028"/>
      <c r="L48" s="245"/>
      <c r="M48" s="805"/>
      <c r="N48" s="806"/>
      <c r="O48" s="806"/>
      <c r="P48" s="806"/>
      <c r="Q48" s="806"/>
      <c r="R48" s="806"/>
      <c r="S48" s="806"/>
      <c r="T48" s="806"/>
      <c r="U48" s="807"/>
      <c r="V48" s="808"/>
      <c r="W48" s="809"/>
      <c r="X48" s="810"/>
      <c r="Y48" s="243"/>
      <c r="Z48" s="243"/>
      <c r="AD48" s="94"/>
      <c r="AE48" s="94"/>
      <c r="BM48" s="1"/>
      <c r="CJ48" s="1"/>
      <c r="CU48" s="253"/>
      <c r="CV48" s="253"/>
      <c r="CY48"/>
      <c r="CZ48"/>
    </row>
    <row r="49" spans="1:110" ht="17" thickBot="1">
      <c r="A49" s="266" t="str">
        <f>"Faktisk arbejdstid ialt i "&amp;A7&amp;" måned"</f>
        <v>Faktisk arbejdstid ialt i Februar måned</v>
      </c>
      <c r="B49" s="330"/>
      <c r="C49" s="331"/>
      <c r="D49" s="331"/>
      <c r="E49" s="331"/>
      <c r="F49" s="331"/>
      <c r="G49" s="331"/>
      <c r="H49" s="332"/>
      <c r="I49" s="840">
        <f>I45+I48+I47+I46</f>
        <v>0</v>
      </c>
      <c r="J49" s="841"/>
      <c r="K49" s="842"/>
      <c r="L49" s="245"/>
      <c r="M49" s="805"/>
      <c r="N49" s="806"/>
      <c r="O49" s="806"/>
      <c r="P49" s="806"/>
      <c r="Q49" s="806"/>
      <c r="R49" s="806"/>
      <c r="S49" s="806"/>
      <c r="T49" s="806"/>
      <c r="U49" s="807"/>
      <c r="V49" s="808"/>
      <c r="W49" s="809"/>
      <c r="X49" s="810"/>
      <c r="Y49" s="243"/>
      <c r="Z49" s="218"/>
      <c r="AA49" s="252"/>
      <c r="AB49" s="252"/>
      <c r="AC49" s="252"/>
      <c r="AD49" s="243"/>
      <c r="AF49" s="252"/>
      <c r="AG49" s="243"/>
      <c r="AH49" s="243"/>
      <c r="AL49" s="94"/>
      <c r="AM49" s="94"/>
      <c r="BT49" s="1"/>
      <c r="CQ49" s="1"/>
      <c r="CY49"/>
      <c r="CZ49"/>
      <c r="DB49" s="253"/>
      <c r="DC49" s="253"/>
    </row>
    <row r="50" spans="1:110" ht="17" thickBot="1">
      <c r="A50" s="260"/>
      <c r="B50" s="260"/>
      <c r="C50" s="260"/>
      <c r="D50" s="260"/>
      <c r="E50" s="260"/>
      <c r="F50" s="260"/>
      <c r="G50" s="260"/>
      <c r="H50" s="260"/>
      <c r="I50" s="577"/>
      <c r="J50" s="577"/>
      <c r="K50" s="577"/>
      <c r="L50" s="551"/>
      <c r="M50" s="805"/>
      <c r="N50" s="806"/>
      <c r="O50" s="806"/>
      <c r="P50" s="806"/>
      <c r="Q50" s="806"/>
      <c r="R50" s="806"/>
      <c r="S50" s="806"/>
      <c r="T50" s="806"/>
      <c r="U50" s="807"/>
      <c r="V50" s="808"/>
      <c r="W50" s="809"/>
      <c r="X50" s="810"/>
      <c r="Y50" s="243"/>
      <c r="Z50" s="243"/>
      <c r="AA50" s="243"/>
      <c r="AB50" s="243"/>
      <c r="AC50" s="218"/>
      <c r="AD50" s="252"/>
      <c r="AE50" s="252"/>
      <c r="AF50" s="252"/>
      <c r="AG50" s="252"/>
      <c r="AH50" s="243"/>
      <c r="AJ50" s="243"/>
      <c r="AK50" s="243"/>
      <c r="AO50" s="94"/>
      <c r="AP50" s="94"/>
      <c r="BW50" s="1"/>
      <c r="CT50" s="1"/>
      <c r="CY50"/>
      <c r="CZ50"/>
      <c r="DE50" s="253"/>
      <c r="DF50" s="253"/>
    </row>
    <row r="51" spans="1:110" ht="35" thickBot="1">
      <c r="A51" s="875" t="s">
        <v>527</v>
      </c>
      <c r="B51" s="876"/>
      <c r="C51" s="876"/>
      <c r="D51" s="876"/>
      <c r="E51" s="876"/>
      <c r="F51" s="876"/>
      <c r="G51" s="876"/>
      <c r="H51" s="670" t="s">
        <v>614</v>
      </c>
      <c r="I51" s="876" t="s">
        <v>526</v>
      </c>
      <c r="J51" s="876"/>
      <c r="K51" s="878"/>
      <c r="L51" s="551"/>
      <c r="M51" s="811" t="s">
        <v>300</v>
      </c>
      <c r="N51" s="812"/>
      <c r="O51" s="812"/>
      <c r="P51" s="812"/>
      <c r="Q51" s="812"/>
      <c r="R51" s="812"/>
      <c r="S51" s="812"/>
      <c r="T51" s="812"/>
      <c r="U51" s="813"/>
      <c r="V51" s="1006">
        <f>V44-SUM(V47:X50)</f>
        <v>0</v>
      </c>
      <c r="W51" s="1007"/>
      <c r="X51" s="1008"/>
      <c r="Y51" s="243"/>
      <c r="Z51" s="243"/>
      <c r="AA51" s="243"/>
      <c r="AB51" s="243"/>
      <c r="AC51" s="218"/>
      <c r="AD51" s="252"/>
      <c r="AE51" s="252"/>
      <c r="AF51" s="252"/>
      <c r="AG51" s="252"/>
      <c r="AH51" s="243"/>
      <c r="AJ51" s="243"/>
      <c r="AK51" s="243"/>
      <c r="AO51" s="94"/>
      <c r="AP51" s="94"/>
      <c r="BW51" s="1"/>
      <c r="CT51" s="1"/>
      <c r="CY51"/>
      <c r="CZ51"/>
      <c r="DE51" s="253"/>
      <c r="DF51" s="253"/>
    </row>
    <row r="52" spans="1:110" ht="16" customHeight="1">
      <c r="A52" s="905"/>
      <c r="B52" s="906"/>
      <c r="C52" s="906"/>
      <c r="D52" s="906"/>
      <c r="E52" s="906"/>
      <c r="F52" s="906"/>
      <c r="G52" s="906"/>
      <c r="H52" s="666">
        <f>Januar!H62</f>
        <v>0</v>
      </c>
      <c r="I52" s="978">
        <f>Januar!I62</f>
        <v>0</v>
      </c>
      <c r="J52" s="978"/>
      <c r="K52" s="979"/>
      <c r="L52" s="551"/>
      <c r="M52" s="578"/>
      <c r="N52" s="578"/>
      <c r="O52" s="578"/>
      <c r="P52" s="578"/>
      <c r="Q52" s="579"/>
      <c r="R52" s="580"/>
      <c r="S52" s="580"/>
      <c r="T52" s="580"/>
      <c r="U52" s="580"/>
      <c r="V52" s="578"/>
      <c r="W52" s="581"/>
      <c r="X52" s="578"/>
      <c r="Y52" s="243"/>
      <c r="Z52" s="243"/>
      <c r="AA52" s="243"/>
      <c r="AB52" s="243"/>
      <c r="AC52" s="218"/>
      <c r="AD52" s="252"/>
      <c r="AE52" s="252"/>
      <c r="AF52" s="252"/>
      <c r="AG52" s="252"/>
      <c r="AH52" s="243"/>
      <c r="AJ52" s="243"/>
      <c r="AK52" s="243"/>
      <c r="AO52" s="94"/>
      <c r="AP52" s="94"/>
      <c r="BW52" s="1"/>
      <c r="CT52" s="1"/>
      <c r="CY52"/>
      <c r="CZ52"/>
      <c r="DE52" s="253"/>
      <c r="DF52" s="253"/>
    </row>
    <row r="53" spans="1:110" ht="16" customHeight="1">
      <c r="A53" s="1013" t="s">
        <v>530</v>
      </c>
      <c r="B53" s="1014"/>
      <c r="C53" s="1014"/>
      <c r="D53" s="1014"/>
      <c r="E53" s="1014"/>
      <c r="F53" s="1014"/>
      <c r="G53" s="1015"/>
      <c r="H53" s="664"/>
      <c r="I53" s="1016"/>
      <c r="J53" s="1017"/>
      <c r="K53" s="1018"/>
      <c r="L53" s="551"/>
      <c r="M53" s="578"/>
      <c r="N53" s="578"/>
      <c r="O53" s="578"/>
      <c r="P53" s="578"/>
      <c r="Q53" s="579"/>
      <c r="R53" s="580"/>
      <c r="S53" s="580"/>
      <c r="T53" s="580"/>
      <c r="U53" s="580"/>
      <c r="V53" s="578"/>
      <c r="W53" s="581"/>
      <c r="X53" s="578"/>
      <c r="Y53" s="243"/>
      <c r="Z53" s="243"/>
      <c r="AA53" s="243"/>
      <c r="AB53" s="243"/>
      <c r="AC53" s="218"/>
      <c r="AD53" s="252"/>
      <c r="AE53" s="252"/>
      <c r="AF53" s="252"/>
      <c r="AG53" s="252"/>
      <c r="AH53" s="243"/>
      <c r="AJ53" s="243"/>
      <c r="AK53" s="243"/>
      <c r="AO53" s="94"/>
      <c r="AP53" s="94"/>
      <c r="BW53" s="1"/>
      <c r="CT53" s="1"/>
      <c r="CY53"/>
      <c r="CZ53"/>
      <c r="DE53" s="253"/>
      <c r="DF53" s="253"/>
    </row>
    <row r="54" spans="1:110" ht="37" customHeight="1">
      <c r="A54" s="802" t="s">
        <v>616</v>
      </c>
      <c r="B54" s="803"/>
      <c r="C54" s="803"/>
      <c r="D54" s="803"/>
      <c r="E54" s="803"/>
      <c r="F54" s="803"/>
      <c r="G54" s="803"/>
      <c r="H54" s="803"/>
      <c r="I54" s="803"/>
      <c r="J54" s="803"/>
      <c r="K54" s="804"/>
      <c r="L54" s="551"/>
      <c r="M54" s="578"/>
      <c r="N54" s="578"/>
      <c r="O54" s="578"/>
      <c r="P54" s="578"/>
      <c r="Q54" s="579"/>
      <c r="R54" s="580"/>
      <c r="S54" s="580"/>
      <c r="T54" s="580"/>
      <c r="U54" s="580"/>
      <c r="V54" s="578"/>
      <c r="W54" s="581"/>
      <c r="X54" s="578"/>
      <c r="Y54" s="243"/>
      <c r="Z54" s="243"/>
      <c r="AA54" s="243"/>
      <c r="AB54" s="243"/>
      <c r="AC54" s="218"/>
      <c r="AD54" s="252"/>
      <c r="AE54" s="252"/>
      <c r="AF54" s="252"/>
      <c r="AG54" s="252"/>
      <c r="AH54" s="243"/>
      <c r="AJ54" s="243"/>
      <c r="AK54" s="243"/>
      <c r="AO54" s="94"/>
      <c r="AP54" s="94"/>
      <c r="BW54" s="1"/>
      <c r="CT54" s="1"/>
      <c r="CY54"/>
      <c r="CZ54"/>
      <c r="DE54" s="253"/>
      <c r="DF54" s="253"/>
    </row>
    <row r="55" spans="1:110" ht="35" customHeight="1">
      <c r="A55" s="907" t="s">
        <v>615</v>
      </c>
      <c r="B55" s="908"/>
      <c r="C55" s="958" t="s">
        <v>566</v>
      </c>
      <c r="D55" s="959"/>
      <c r="E55" s="960" t="s">
        <v>567</v>
      </c>
      <c r="F55" s="803"/>
      <c r="G55" s="961"/>
      <c r="H55" s="970" t="s">
        <v>528</v>
      </c>
      <c r="I55" s="970"/>
      <c r="J55" s="970"/>
      <c r="K55" s="971"/>
      <c r="L55" s="551"/>
      <c r="M55" s="578"/>
      <c r="N55" s="578"/>
      <c r="O55" s="578"/>
      <c r="P55" s="578"/>
      <c r="Q55" s="579"/>
      <c r="R55" s="580"/>
      <c r="S55" s="580"/>
      <c r="T55" s="580"/>
      <c r="U55" s="580"/>
      <c r="V55" s="578"/>
      <c r="W55" s="581"/>
      <c r="X55" s="578"/>
      <c r="Y55" s="243"/>
      <c r="Z55" s="243"/>
      <c r="AA55" s="243"/>
      <c r="AB55" s="243"/>
      <c r="AC55" s="218"/>
      <c r="AD55" s="252"/>
      <c r="AE55" s="252"/>
      <c r="AF55" s="252"/>
      <c r="AG55" s="252"/>
      <c r="AH55" s="243"/>
      <c r="AJ55" s="243"/>
      <c r="AK55" s="243"/>
      <c r="AO55" s="94"/>
      <c r="AP55" s="94"/>
      <c r="BW55" s="1"/>
      <c r="CT55" s="1"/>
      <c r="CY55"/>
      <c r="CZ55"/>
      <c r="DE55" s="253"/>
      <c r="DF55" s="253"/>
    </row>
    <row r="56" spans="1:110">
      <c r="A56" s="962"/>
      <c r="B56" s="963"/>
      <c r="C56" s="966"/>
      <c r="D56" s="965"/>
      <c r="E56" s="967"/>
      <c r="F56" s="968"/>
      <c r="G56" s="969"/>
      <c r="H56" s="665"/>
      <c r="I56" s="956"/>
      <c r="J56" s="956"/>
      <c r="K56" s="957"/>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0">
      <c r="A57" s="964"/>
      <c r="B57" s="965"/>
      <c r="C57" s="966"/>
      <c r="D57" s="965"/>
      <c r="E57" s="967"/>
      <c r="F57" s="968"/>
      <c r="G57" s="969"/>
      <c r="H57" s="665"/>
      <c r="I57" s="956"/>
      <c r="J57" s="956"/>
      <c r="K57" s="957"/>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0">
      <c r="A58" s="964"/>
      <c r="B58" s="965"/>
      <c r="C58" s="966"/>
      <c r="D58" s="965"/>
      <c r="E58" s="967"/>
      <c r="F58" s="968"/>
      <c r="G58" s="969"/>
      <c r="H58" s="665"/>
      <c r="I58" s="956"/>
      <c r="J58" s="956"/>
      <c r="K58" s="957"/>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0">
      <c r="A59" s="964"/>
      <c r="B59" s="965"/>
      <c r="C59" s="966"/>
      <c r="D59" s="965"/>
      <c r="E59" s="967"/>
      <c r="F59" s="968"/>
      <c r="G59" s="969"/>
      <c r="H59" s="665"/>
      <c r="I59" s="956"/>
      <c r="J59" s="956"/>
      <c r="K59" s="957"/>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0" ht="17" thickBot="1">
      <c r="A60" s="953" t="s">
        <v>529</v>
      </c>
      <c r="B60" s="954"/>
      <c r="C60" s="955"/>
      <c r="D60" s="955"/>
      <c r="E60" s="955"/>
      <c r="F60" s="955"/>
      <c r="G60" s="955"/>
      <c r="H60" s="667">
        <f>H53+H52-SUM(H56:H59)</f>
        <v>0</v>
      </c>
      <c r="I60" s="950">
        <f>I52+I53-SUM(I56:K59)</f>
        <v>0</v>
      </c>
      <c r="J60" s="951"/>
      <c r="K60" s="952"/>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0" hidden="1">
      <c r="A61" s="545"/>
      <c r="B61" s="545"/>
      <c r="C61" s="545"/>
      <c r="D61" s="545"/>
      <c r="E61" s="545"/>
      <c r="F61" s="545"/>
      <c r="G61" s="545"/>
      <c r="H61" s="546"/>
      <c r="I61" s="547"/>
      <c r="J61" s="547"/>
      <c r="K61" s="548" t="s">
        <v>297</v>
      </c>
      <c r="L61" s="354"/>
      <c r="M61" s="243"/>
      <c r="N61" s="218"/>
      <c r="O61" s="252"/>
      <c r="P61" s="252"/>
      <c r="Q61" s="252"/>
      <c r="R61" s="243"/>
      <c r="T61" s="252"/>
      <c r="U61" s="243"/>
      <c r="V61" s="243"/>
      <c r="Y61"/>
      <c r="Z61" s="94"/>
      <c r="AA61" s="94"/>
      <c r="BH61" s="1"/>
      <c r="CE61" s="1"/>
      <c r="CP61" s="253"/>
      <c r="CQ61" s="253"/>
      <c r="CY61"/>
      <c r="CZ61"/>
    </row>
    <row r="62" spans="1:110" hidden="1">
      <c r="A62" s="547" t="s">
        <v>209</v>
      </c>
      <c r="B62" s="547"/>
      <c r="C62" s="547"/>
      <c r="D62" s="547">
        <f>COUNTIF([0]!Februar,"Skema 1")</f>
        <v>16</v>
      </c>
      <c r="E62" s="549"/>
      <c r="F62" s="547" t="s">
        <v>189</v>
      </c>
      <c r="G62" s="547">
        <f>COUNTIFS($B$9:$B$37,"ma",[0]!Februar,"Skema 1")</f>
        <v>3</v>
      </c>
      <c r="H62" s="547"/>
      <c r="I62" s="547"/>
      <c r="J62" s="550"/>
      <c r="K62" s="551"/>
      <c r="L62" s="354"/>
      <c r="M62" s="243"/>
      <c r="N62" s="218"/>
      <c r="O62" s="252"/>
      <c r="P62" s="252"/>
      <c r="Q62" s="252"/>
      <c r="R62" s="243"/>
      <c r="T62" s="252"/>
      <c r="U62" s="243"/>
      <c r="V62" s="243"/>
      <c r="Y62"/>
      <c r="Z62" s="94"/>
      <c r="AA62" s="94"/>
      <c r="BH62" s="1"/>
      <c r="CE62" s="1"/>
      <c r="CP62" s="253"/>
      <c r="CQ62" s="253"/>
      <c r="CY62"/>
      <c r="CZ62"/>
    </row>
    <row r="63" spans="1:110" hidden="1">
      <c r="A63" s="972" t="s">
        <v>210</v>
      </c>
      <c r="B63" s="972"/>
      <c r="C63" s="972"/>
      <c r="D63" s="547">
        <f>COUNTIF([0]!Februar,"Skema 2")</f>
        <v>0</v>
      </c>
      <c r="E63" s="549"/>
      <c r="F63" s="547" t="s">
        <v>190</v>
      </c>
      <c r="G63" s="547">
        <f>COUNTIFS($B$9:$B$37,"ti",[0]!Februar,"Skema 1")</f>
        <v>3</v>
      </c>
      <c r="H63" s="547"/>
      <c r="I63" s="547"/>
      <c r="J63" s="550"/>
      <c r="K63" s="551"/>
      <c r="L63" s="354"/>
      <c r="M63" s="243"/>
      <c r="N63" s="218"/>
      <c r="O63" s="252"/>
      <c r="P63" s="252"/>
      <c r="Q63" s="252"/>
      <c r="R63" s="243"/>
      <c r="T63" s="252"/>
      <c r="U63" s="243"/>
      <c r="V63" s="243"/>
      <c r="Y63"/>
      <c r="Z63" s="94"/>
      <c r="AA63" s="94"/>
      <c r="BH63" s="1"/>
      <c r="CE63" s="1"/>
      <c r="CP63" s="253"/>
      <c r="CQ63" s="253"/>
      <c r="CY63"/>
      <c r="CZ63"/>
    </row>
    <row r="64" spans="1:110" hidden="1">
      <c r="A64" s="972" t="s">
        <v>211</v>
      </c>
      <c r="B64" s="972"/>
      <c r="C64" s="972"/>
      <c r="D64" s="547">
        <f>COUNTIF([0]!Februar,"Skema 3")</f>
        <v>0</v>
      </c>
      <c r="E64" s="549"/>
      <c r="F64" s="547" t="s">
        <v>191</v>
      </c>
      <c r="G64" s="547">
        <f>COUNTIFS($B$9:$B$37,"on",[0]!Februar,"Skema 1")</f>
        <v>3</v>
      </c>
      <c r="H64" s="547"/>
      <c r="I64" s="547"/>
      <c r="J64" s="550"/>
      <c r="K64" s="551"/>
      <c r="L64" s="477"/>
      <c r="M64" s="243"/>
      <c r="N64" s="550">
        <f>IF($C$9="Ikke relevant",V9,0)+IF($C$10="Ikke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f>
        <v>0</v>
      </c>
      <c r="O64" s="550">
        <f t="shared" ref="O64" si="55">IF($C$9="Ikke relevant",W9,0)+IF($C$10="Ikke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f>
        <v>0</v>
      </c>
      <c r="P64" s="550">
        <f>IF($C$9="Ikke relevant",X9,0)+IF($C$10="Ikke relevant",X10,0)+IF($C$11="Ikke relevant",X11,0)+IF($C$12="Ikke relevant",X12,0)+IF($C$13="Ikke relevant",X13,0)+IF($C$14="Ikke relevant",X14,0)+IF($C$15="Ikke relevant",X15,0)+IF($C$16="Ikke relevant",X16,0)+IF($C$17="Ikke relevant",X17,0)+IF($C$18="Ikke relevant",X18,0)+IF($C$19="Ikke relevant",X19,0)+IF($C$20="Ikke relevant",X20,0)+IF($C$21="Ikke relevant",X21,0)+IF($C$22="Ikke relevant",X22,0)+IF($C$23="Ikke relevant",X23,0)+IF($C$24="Ikke relevant",X24,0)+IF($C$25="Ikke relevant",X25,0)+IF($C$26="Ikke relevant",X26,0)+IF($C$27="Ikke relevant",X27,0)+IF($C$28="Ikke relevant",X28,0)+IF($C$29="Ikke relevant",X29,0)+IF($C$30="Ikke relevant",X30,0)+IF($C$31="Ikke relevant",X31,0)+IF($C$32="Ikke relevant",X32,0)+IF($C$33="Ikke relevant",X33,0)+IF($C$34="Ikke relevant",X34,0)+IF($C$35="Ikke relevant",X35,0)+IF($C$36="Ikke relevant",X36,0)+IF($C$37="Ikke relevant",X37,0)</f>
        <v>0</v>
      </c>
      <c r="Q64" s="579" t="s">
        <v>622</v>
      </c>
      <c r="R64" s="243"/>
      <c r="T64" s="252"/>
      <c r="U64" s="243"/>
      <c r="V64" s="243"/>
      <c r="Y64"/>
      <c r="Z64" s="94"/>
      <c r="AA64" s="94"/>
      <c r="BH64" s="1"/>
      <c r="CE64" s="1"/>
      <c r="CP64" s="253"/>
      <c r="CQ64" s="253"/>
      <c r="CY64"/>
      <c r="CZ64"/>
    </row>
    <row r="65" spans="1:108" hidden="1">
      <c r="A65" s="972" t="s">
        <v>212</v>
      </c>
      <c r="B65" s="972"/>
      <c r="C65" s="972"/>
      <c r="D65" s="547">
        <f>COUNTIF([0]!Februar,"Skema 4")</f>
        <v>0</v>
      </c>
      <c r="E65" s="549"/>
      <c r="F65" s="547" t="s">
        <v>193</v>
      </c>
      <c r="G65" s="547">
        <f>COUNTIFS($B$9:$B$37,"to",[0]!Februar,"Skema 1")</f>
        <v>4</v>
      </c>
      <c r="H65" s="547"/>
      <c r="I65" s="547" t="s">
        <v>496</v>
      </c>
      <c r="J65" s="550">
        <f>IF(C9="Ikke relevant",R9,0)+IF(C10="Ikke relevant",R10,0)+IF(C10="Ikke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f>
        <v>0</v>
      </c>
      <c r="K65" s="552"/>
      <c r="L65" s="477"/>
      <c r="M65" s="470" t="s">
        <v>327</v>
      </c>
      <c r="N65" s="470" t="s">
        <v>423</v>
      </c>
      <c r="O65" s="260"/>
      <c r="P65" s="260"/>
      <c r="Q65" s="260"/>
      <c r="R65" s="260"/>
      <c r="S65" s="260"/>
      <c r="T65" s="260"/>
      <c r="U65" s="260"/>
      <c r="V65" s="260"/>
      <c r="W65" s="260"/>
      <c r="X65" s="260"/>
      <c r="Y65" s="243"/>
      <c r="Z65" s="243"/>
      <c r="AA65" s="218"/>
      <c r="AB65" s="252"/>
      <c r="AC65" s="252"/>
      <c r="AD65" s="252"/>
      <c r="AE65" s="243"/>
      <c r="AF65" s="252"/>
      <c r="AH65" s="243"/>
      <c r="AI65" s="243"/>
      <c r="AM65" s="94"/>
      <c r="AN65" s="94"/>
      <c r="BU65" s="1"/>
      <c r="CR65" s="1"/>
      <c r="CY65"/>
      <c r="CZ65"/>
      <c r="DC65" s="253"/>
      <c r="DD65" s="253"/>
    </row>
    <row r="66" spans="1:108" hidden="1">
      <c r="A66" s="547" t="s">
        <v>113</v>
      </c>
      <c r="B66" s="547"/>
      <c r="C66" s="547"/>
      <c r="D66" s="547">
        <f>COUNTIF([0]!Februar,"Fagdag")+COUNTIF([0]!Februar,"emnedag")</f>
        <v>0</v>
      </c>
      <c r="E66" s="549"/>
      <c r="F66" s="547" t="s">
        <v>192</v>
      </c>
      <c r="G66" s="547">
        <f>COUNTIFS($B$9:$B$37,"fr",[0]!Februar,"Skema 1")</f>
        <v>3</v>
      </c>
      <c r="H66" s="547"/>
      <c r="I66" s="552" t="s">
        <v>329</v>
      </c>
      <c r="J66" s="550"/>
      <c r="K66" s="552"/>
      <c r="L66" s="477"/>
      <c r="M66" s="463">
        <f>IF($I$9="X",$K$9,0)+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f>
        <v>0</v>
      </c>
      <c r="N66" s="463">
        <f>IF(AND($I$9="X",$S$9="x"),$V$9,0)+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f>
        <v>0</v>
      </c>
      <c r="O66" s="463"/>
      <c r="P66" s="354"/>
      <c r="Q66" s="465" t="s">
        <v>331</v>
      </c>
      <c r="R66" s="234"/>
      <c r="S66" s="234"/>
      <c r="T66" s="234" t="s">
        <v>332</v>
      </c>
      <c r="U66" s="234"/>
      <c r="V66" s="234"/>
      <c r="W66" s="122"/>
      <c r="X66" s="122"/>
      <c r="Y66" s="243"/>
      <c r="Z66" s="243"/>
      <c r="AA66" s="218"/>
      <c r="AB66" s="252"/>
      <c r="AC66" s="252"/>
      <c r="AD66" s="252"/>
      <c r="AE66" s="243"/>
      <c r="AF66" s="218"/>
      <c r="AH66" s="243"/>
      <c r="AI66" s="243"/>
      <c r="AM66" s="94"/>
      <c r="AN66" s="94"/>
      <c r="BU66" s="1"/>
      <c r="CR66" s="1"/>
      <c r="CY66"/>
      <c r="CZ66"/>
      <c r="DC66" s="253"/>
      <c r="DD66" s="253"/>
    </row>
    <row r="67" spans="1:108" hidden="1">
      <c r="A67" s="553" t="s">
        <v>112</v>
      </c>
      <c r="B67" s="547"/>
      <c r="C67" s="547"/>
      <c r="D67" s="547">
        <f>COUNTIF([0]!Februar,"Lejrskole")+COUNTIF([0]!Februar,"Ekskursion")</f>
        <v>0</v>
      </c>
      <c r="E67" s="549"/>
      <c r="F67" s="547"/>
      <c r="G67" s="547"/>
      <c r="H67" s="547"/>
      <c r="I67" s="552" t="s">
        <v>343</v>
      </c>
      <c r="J67" s="550"/>
      <c r="K67" s="552"/>
      <c r="L67" s="477"/>
      <c r="M67" s="463">
        <f>IF(AND($I$9="X",$J$9="X"),($K$9*-1),0)+IF(AND($I$10="X",$J$10="X"),($K$10*-1),0)+IF(AND($I$11="X",$J$11="X"),($K$11*-1),0)+IF(AND($I$12="X",$J$12="X"),($K$12*-1),0)+IF(AND($I$13="X",$J$13="X"),($K$13*-1),0)+IF(AND($I$14="X",$J$14="X"),($K$14*-1),0)+IF(AND($I$15="X",$J$15="X"),($K$15*-1),0)+IF(AND($I$16="X",$J$16="X"),($K$16*-1),0)+IF(AND($I$17="X",$J$17="X"),($K$17*-1),0)+IF(AND($I$18="X",$J$18="X"),($K$18*-1),0)+IF(AND($I$19="X",$J$19="X"),($K$19*-1),0)+IF(AND($I$20="X",$J$20="X"),($K$20*-1),0)+IF(AND($I$21="X",$J$21="X"),($K$21*-1),0)+IF(AND($I$22="X",$J$22="X"),($K$22*-1),0)+IF(AND($I$23="X",$J$23="X"),(K19*-1),0)+IF(AND($I$24="X",$J$24="X"),(K20*-1),0)+IF(AND($I$25="X",$J$25="X"),(K21*-1),0)+IF(AND($I$26="X",$J$26="X"),(K22*-1),0)+IF(AND($I$27="X",$J$27="X"),(K23*-1),0)+IF(AND($I$28="X",$J$28="X"),(K24*-1),0)+IF(AND($I$29="X",$J$29="X"),(K25*-1),0)+IF(AND($I$30="X",$J$30="X"),(K26*-1),0)+IF(AND($I$31="X",$J$31="X"),(K27*-1),0)+IF(AND($I$32="X",$J$32="X"),($K$32*-1),0)+IF(AND($I$33="X",$J$33="X"),($K$33*-1),0)+IF(AND($I$34="X",$J$34="X"),($K$34*-1),0)+IF(AND($I$35="X",$J$35="X"),($K$35*-1),0)+IF(AND($I$36="X",$J$36="X"),($K$36*-1),0)+IF(AND($I$37="X",$J$37="X"),($K$37*-1),0)</f>
        <v>0</v>
      </c>
      <c r="N67" s="463">
        <f>IF(AND($I$9="X",$J$9="X"),$V$9*-1,0)+IF(AND($I$10="X",$J$10="X"),$V$10*-1,0)+IF(AND($I$11="X",$J$11="X"),$V$11*-1,0)+IF(AND($I$12="X",$J$12="X"),$V$12*-1,0)+IF(AND($I$13="X",$J$13="X"),$V$13*-1,0)+IF(AND($I$14="X",$J$14="X"),$V$14*-1,0)+IF(AND($I$15="X",$J$15="X"),$V$15*-1,0)+IF(AND($I$16="X",$J$16="X"),$V$16*-1,0)+IF(AND($I$17="X",$J$17="X"),$V$17*-1,0)+IF(AND($I$18="X",$J$18="X"),$V$18*-1,0)+IF(AND($I$19="X",$J$19="X"),$V$19*-1,0)+IF(AND($I$20="X",$J$20="X"),$V$20*-1,0)+IF(AND($I$21="X",$J$21="X"),$V$21*-1,0)+IF(AND($I$22="x",$J$22="x"),$V$22*-1,0)+IF(AND($I$23="x",$J$23="x"),V19*-1,0)+IF(AND($I$24="X",$J$24="X"),V20*-1,0)+IF(AND($I$25="X",$J$25="X"),V21*-1,0)+IF(AND($I$26="X",$J$26="X"),V22*-1,0)+IF(AND($I$27="X",$J$27="X"),V23*-1,0)+IF(AND($I$28="X",$J$28="X"),$V$28*-1,0)+IF(AND($I$29="X",$J$29="X"),$V$29*-1,0)+IF(AND($I$30="X",$J$30="X"),$V$30*-1,0)+IF(AND($I$31="X",$J$31="X"),$V$31*-1,0)+IF(AND($I$32="X",$J$32="X"),$V$32*-1,0)+IF(AND($I$33="X",$J$33="X"),$V$33*-1,0)+IF(AND($I$34="X",$J$34="X"),$V$34*-1,0)+IF(AND($I$35="X",$J$35="X"),$V$35*-1,0)+IF(AND($I$36="X",$J$36="X"),$V$36*-1,0)+IF(AND($I$37="X",$J$37="X"),$V$37*-1,0)</f>
        <v>0</v>
      </c>
      <c r="O67" s="464">
        <v>0.5</v>
      </c>
      <c r="P67" s="354"/>
      <c r="Q67" s="465" t="s">
        <v>328</v>
      </c>
      <c r="R67" s="234"/>
      <c r="S67" s="234"/>
      <c r="T67" s="234"/>
      <c r="U67" s="234"/>
      <c r="V67" s="234"/>
      <c r="W67" s="122"/>
      <c r="X67" s="122"/>
      <c r="Y67" s="243"/>
      <c r="Z67" s="243"/>
      <c r="AA67" s="218"/>
      <c r="AB67" s="252"/>
      <c r="AC67" s="252"/>
      <c r="AD67" s="252"/>
      <c r="AE67" s="243"/>
      <c r="AF67" s="218"/>
      <c r="AH67" s="243"/>
      <c r="AI67" s="243"/>
      <c r="AM67" s="94"/>
      <c r="AN67" s="94"/>
      <c r="BU67" s="1"/>
      <c r="CR67" s="1"/>
      <c r="CY67"/>
      <c r="CZ67"/>
      <c r="DC67" s="253"/>
      <c r="DD67" s="253"/>
    </row>
    <row r="68" spans="1:108" hidden="1">
      <c r="A68" s="547" t="s">
        <v>111</v>
      </c>
      <c r="B68" s="547"/>
      <c r="C68" s="547"/>
      <c r="D68" s="547">
        <f>COUNTIF([0]!Februar,"Pæd.dag")</f>
        <v>0</v>
      </c>
      <c r="E68" s="549"/>
      <c r="F68" s="547" t="s">
        <v>194</v>
      </c>
      <c r="G68" s="547">
        <f>COUNTIFS($B$9:$B$37,"ma",[0]!Februar,"Skema 2")</f>
        <v>0</v>
      </c>
      <c r="H68" s="547"/>
      <c r="I68" s="547" t="s">
        <v>342</v>
      </c>
      <c r="J68" s="550"/>
      <c r="K68" s="552"/>
      <c r="L68" s="477"/>
      <c r="M68" s="463">
        <f>SUM(M66:M67)</f>
        <v>0</v>
      </c>
      <c r="N68" s="463">
        <f>SUM(N66:N67)</f>
        <v>0</v>
      </c>
      <c r="O68" s="463">
        <f>(M68+N68)/2</f>
        <v>0</v>
      </c>
      <c r="P68" s="354">
        <f>SUM(M68:O68)</f>
        <v>0</v>
      </c>
      <c r="Q68" s="465">
        <f>(M68+N68)*25%</f>
        <v>0</v>
      </c>
      <c r="R68" s="234"/>
      <c r="S68" s="234"/>
      <c r="T68" s="234"/>
      <c r="U68" s="234"/>
      <c r="V68" s="234"/>
      <c r="W68" s="122"/>
      <c r="X68" s="122"/>
      <c r="Y68" s="243"/>
      <c r="Z68" s="243"/>
      <c r="AA68" s="218"/>
      <c r="AB68" s="252"/>
      <c r="AC68" s="252"/>
      <c r="AD68" s="252"/>
      <c r="AE68" s="243"/>
      <c r="AF68" s="218"/>
      <c r="AH68" s="243"/>
      <c r="AI68" s="243"/>
      <c r="AM68" s="94"/>
      <c r="AN68" s="94"/>
      <c r="BU68" s="1"/>
      <c r="CR68" s="1"/>
      <c r="CY68"/>
      <c r="CZ68"/>
      <c r="DC68" s="253"/>
      <c r="DD68" s="253"/>
    </row>
    <row r="69" spans="1:108" hidden="1">
      <c r="A69" s="547" t="s">
        <v>121</v>
      </c>
      <c r="B69" s="547"/>
      <c r="C69" s="547"/>
      <c r="D69" s="547">
        <f>COUNTIF([0]!Februar,"Weekend")</f>
        <v>8</v>
      </c>
      <c r="E69" s="549"/>
      <c r="F69" s="547" t="s">
        <v>195</v>
      </c>
      <c r="G69" s="547">
        <f>COUNTIFS($B$9:$B$37,"ti",[0]!Februar,"Skema 2")</f>
        <v>0</v>
      </c>
      <c r="H69" s="547"/>
      <c r="I69" s="547" t="s">
        <v>482</v>
      </c>
      <c r="J69" s="550"/>
      <c r="K69" s="552"/>
      <c r="L69" s="512"/>
      <c r="M69" s="513">
        <f>IF(Stamoplysninger!$B$26="Weekendtimer og weekendtillæg afspadseres.",M66,0)</f>
        <v>0</v>
      </c>
      <c r="N69" s="513">
        <f>IF(Stamoplysninger!$B$26="Weekendtimer og weekendtillæg afspadseres.",N66,0)</f>
        <v>0</v>
      </c>
      <c r="O69" s="463"/>
      <c r="P69" s="354"/>
      <c r="Q69" s="465" t="s">
        <v>333</v>
      </c>
      <c r="R69" s="234"/>
      <c r="S69" s="234">
        <f>IF(Stamoplysninger!B22="Ulempetillæg afspadseres med 25%(Kræver en aftale imellem ledelsen og den ansatte)",Q68,0)</f>
        <v>0</v>
      </c>
      <c r="T69" s="234">
        <f>IF(Stamoplysninger!B22="Ulempetillæg afspadseres med 25%(Kræver en aftale imellem ledelsen og den ansatte)",(R38+X38)*0.25,0)</f>
        <v>0</v>
      </c>
      <c r="U69" s="234"/>
      <c r="V69" s="234"/>
      <c r="W69" s="122"/>
      <c r="X69" s="122"/>
      <c r="Y69"/>
      <c r="Z69"/>
      <c r="AL69" s="1"/>
      <c r="BI69" s="1"/>
      <c r="BT69" s="253"/>
      <c r="BU69" s="253"/>
      <c r="CY69"/>
      <c r="CZ69"/>
    </row>
    <row r="70" spans="1:108" hidden="1">
      <c r="A70" s="547" t="s">
        <v>128</v>
      </c>
      <c r="B70" s="547"/>
      <c r="C70" s="547"/>
      <c r="D70" s="547">
        <f>COUNTIF([0]!Februar,"SH-dag")</f>
        <v>0</v>
      </c>
      <c r="E70" s="549"/>
      <c r="F70" s="547" t="s">
        <v>196</v>
      </c>
      <c r="G70" s="547">
        <f>COUNTIFS($B$9:$B$37,"on",[0]!Februar,"Skema 2")</f>
        <v>0</v>
      </c>
      <c r="H70" s="547"/>
      <c r="I70" s="554" t="s">
        <v>483</v>
      </c>
      <c r="J70" s="554"/>
      <c r="K70" s="554"/>
      <c r="L70" s="519"/>
      <c r="M70" s="513">
        <f>IF(Stamoplysninger!$B$26="Weekendtimer og weekendtillæg afspadseres.",O68,0)</f>
        <v>0</v>
      </c>
      <c r="N70" s="513">
        <f>IF(Stamoplysninger!$B$26="Weekendtimer og weekendtillæg afspadseres.",O68,0)</f>
        <v>0</v>
      </c>
      <c r="O70" s="463"/>
      <c r="P70" s="354"/>
      <c r="Q70" s="465" t="s">
        <v>330</v>
      </c>
      <c r="R70" s="234"/>
      <c r="S70" s="234">
        <f>IF(Stamoplysninger!B22="Ulempetillæg udbetales med 25% af nettotimelønnen.",Q68,0)</f>
        <v>0</v>
      </c>
      <c r="T70" s="234">
        <f>IF(Stamoplysninger!B22="Ulempetillæg udbetales med 25% af nettotimelønnen.",(R38+X38)*0.25,0)</f>
        <v>0</v>
      </c>
      <c r="U70" s="234"/>
      <c r="V70" s="234"/>
      <c r="W70" s="122"/>
      <c r="X70" s="122"/>
      <c r="Y70"/>
      <c r="Z70"/>
      <c r="AL70" s="1"/>
      <c r="BI70" s="1"/>
      <c r="BT70" s="253"/>
      <c r="BU70" s="253"/>
      <c r="CY70"/>
      <c r="CZ70"/>
    </row>
    <row r="71" spans="1:108" hidden="1">
      <c r="A71" s="547" t="s">
        <v>110</v>
      </c>
      <c r="B71" s="547"/>
      <c r="C71" s="547"/>
      <c r="D71" s="547">
        <f>COUNTIF([0]!Februar,"Feriedag")</f>
        <v>0</v>
      </c>
      <c r="E71" s="549"/>
      <c r="F71" s="547" t="s">
        <v>197</v>
      </c>
      <c r="G71" s="547">
        <f>COUNTIFS($B$9:$B$37,"to",[0]!Februar,"Skema 2")</f>
        <v>0</v>
      </c>
      <c r="H71" s="547"/>
      <c r="I71" s="554" t="s">
        <v>484</v>
      </c>
      <c r="J71" s="554"/>
      <c r="K71" s="554"/>
      <c r="L71" s="520"/>
      <c r="M71" s="514">
        <f>IF(Stamoplysninger!$B$26="Weekendtimer og weekendtillæg udbetales.",M66,0)</f>
        <v>0</v>
      </c>
      <c r="N71" s="514">
        <f>IF(Stamoplysninger!$B$26="Weekendtimer og weekendtillæg udbetales.",N66,0)</f>
        <v>0</v>
      </c>
      <c r="O71" s="463"/>
      <c r="P71" s="354"/>
      <c r="Q71" s="465"/>
      <c r="R71" s="234"/>
      <c r="S71" s="234"/>
      <c r="T71" s="234"/>
      <c r="U71" s="234"/>
      <c r="V71" s="234"/>
      <c r="W71" s="122"/>
      <c r="X71" s="122"/>
      <c r="Y71"/>
      <c r="Z71"/>
      <c r="AL71" s="1"/>
      <c r="BI71" s="1"/>
      <c r="BT71" s="253"/>
      <c r="BU71" s="253"/>
      <c r="CY71"/>
      <c r="CZ71"/>
    </row>
    <row r="72" spans="1:108" hidden="1">
      <c r="A72" s="547" t="s">
        <v>181</v>
      </c>
      <c r="B72" s="547"/>
      <c r="C72" s="547"/>
      <c r="D72" s="547">
        <f>COUNTIF([0]!Februar,"Nul-dag")</f>
        <v>5</v>
      </c>
      <c r="E72" s="549"/>
      <c r="F72" s="547" t="s">
        <v>198</v>
      </c>
      <c r="G72" s="547">
        <f>COUNTIFS($B$9:$B$37,"fr",[0]!Februar,"Skema 2")</f>
        <v>0</v>
      </c>
      <c r="H72" s="547"/>
      <c r="I72" s="554" t="s">
        <v>485</v>
      </c>
      <c r="J72" s="554"/>
      <c r="K72" s="554"/>
      <c r="L72" s="520"/>
      <c r="M72" s="514">
        <f>IF(Stamoplysninger!$B$26="Weekendtimer og weekendtillæg udbetales.",O68,0)</f>
        <v>0</v>
      </c>
      <c r="N72" s="514">
        <f>IF(Stamoplysninger!$B$26="Weekendtimer og weekendtillæg udbetales.",O68,0)</f>
        <v>0</v>
      </c>
      <c r="O72" s="463"/>
      <c r="P72" s="354"/>
      <c r="Q72" s="465"/>
      <c r="R72" s="234"/>
      <c r="S72" s="234"/>
      <c r="T72" s="234"/>
      <c r="U72" s="234"/>
      <c r="V72" s="234"/>
      <c r="W72" s="122"/>
      <c r="X72" s="122"/>
      <c r="Y72"/>
      <c r="Z72"/>
      <c r="AL72" s="1"/>
      <c r="BI72" s="1"/>
      <c r="BT72" s="253"/>
      <c r="BU72" s="253"/>
      <c r="CY72"/>
      <c r="CZ72"/>
    </row>
    <row r="73" spans="1:108" hidden="1">
      <c r="A73" s="555" t="s">
        <v>444</v>
      </c>
      <c r="B73" s="547"/>
      <c r="C73" s="547"/>
      <c r="D73" s="547">
        <f>COUNTIF([0]!Februar,"Orlov")</f>
        <v>0</v>
      </c>
      <c r="E73" s="549"/>
      <c r="F73" s="556"/>
      <c r="G73" s="556"/>
      <c r="H73" s="556"/>
      <c r="I73" s="554" t="s">
        <v>334</v>
      </c>
      <c r="J73" s="554"/>
      <c r="K73" s="554"/>
      <c r="L73" s="516"/>
      <c r="M73" s="515">
        <f>IF(Stamoplysninger!$B$26="Der er indgået lokalaftale omkring weekendtimer.(Kræver aftale med TR/FSL) Weekendtillæg afspadseres.",O68,0)</f>
        <v>0</v>
      </c>
      <c r="N73" s="515">
        <f>IF(Stamoplysninger!$B$26="Der er indgået lokalaftale omkring weekendtimer.(Kræver aftale med TR/FSL) Weekendtillæg afspadseres.",N66,0)</f>
        <v>0</v>
      </c>
      <c r="O73" s="463"/>
      <c r="P73" s="354"/>
      <c r="Q73" s="465"/>
      <c r="R73" s="234"/>
      <c r="S73" s="234"/>
      <c r="T73" s="234"/>
      <c r="U73" s="234"/>
      <c r="V73" s="234"/>
      <c r="W73" s="122"/>
      <c r="X73" s="122"/>
      <c r="Y73"/>
      <c r="Z73"/>
      <c r="AL73" s="1"/>
      <c r="BI73" s="1"/>
      <c r="BT73" s="253"/>
      <c r="BU73" s="253"/>
      <c r="CY73"/>
      <c r="CZ73"/>
    </row>
    <row r="74" spans="1:108" hidden="1">
      <c r="A74" s="547" t="s">
        <v>161</v>
      </c>
      <c r="B74" s="547"/>
      <c r="C74" s="547"/>
      <c r="D74" s="547">
        <f>COUNTIF([0]!Februar,"Ikke relevant")</f>
        <v>0</v>
      </c>
      <c r="E74" s="549"/>
      <c r="F74" s="547" t="s">
        <v>199</v>
      </c>
      <c r="G74" s="547">
        <f>COUNTIFS($B$9:$B$37,"ma",[0]!Februar,"Skema 3")</f>
        <v>0</v>
      </c>
      <c r="H74" s="547">
        <v>1</v>
      </c>
      <c r="I74" s="554" t="s">
        <v>335</v>
      </c>
      <c r="J74" s="554"/>
      <c r="K74" s="554"/>
      <c r="L74" s="516"/>
      <c r="M74" s="515">
        <f>IF(Stamoplysninger!$B$26="Der er indgået lokalaftale omkring weekendtimer(Kræver aftale med TR/FSL). Weekendtillæg udbetales.",O68,0)</f>
        <v>0</v>
      </c>
      <c r="N74" s="515">
        <f>IF(Stamoplysninger!$B$26="Der er indgået lokalaftale omkring weekendtimer(Kræver aftale med TR/FSL). Weekendtillæg udbetales.",N66,0)</f>
        <v>0</v>
      </c>
      <c r="O74" s="463"/>
      <c r="P74" s="354"/>
      <c r="Q74" s="465"/>
      <c r="R74" s="234"/>
      <c r="S74" s="234"/>
      <c r="T74" s="234"/>
      <c r="U74" s="234"/>
      <c r="V74" s="234"/>
      <c r="W74" s="122"/>
      <c r="X74" s="122"/>
      <c r="Y74"/>
      <c r="Z74"/>
      <c r="AL74" s="1"/>
      <c r="BI74" s="1"/>
      <c r="BT74" s="253"/>
      <c r="BU74" s="253"/>
      <c r="CY74"/>
      <c r="CZ74"/>
    </row>
    <row r="75" spans="1:108" hidden="1">
      <c r="A75" s="547" t="s">
        <v>109</v>
      </c>
      <c r="B75" s="547"/>
      <c r="C75" s="547"/>
      <c r="D75" s="547">
        <f>SUM(D62:D74)</f>
        <v>29</v>
      </c>
      <c r="E75" s="547"/>
      <c r="F75" s="547" t="s">
        <v>200</v>
      </c>
      <c r="G75" s="547">
        <f>COUNTIFS($B$9:$B$37,"ti",[0]!Februar,"Skema 3")</f>
        <v>0</v>
      </c>
      <c r="H75" s="547">
        <v>2</v>
      </c>
      <c r="I75" s="554" t="s">
        <v>487</v>
      </c>
      <c r="J75" s="554"/>
      <c r="K75" s="554"/>
      <c r="L75" s="516"/>
      <c r="M75" s="515">
        <f>IF(Stamoplysninger!$B$26="Der er indgået lokalaftale omkring weekendtimer.(Kræver aftale med TR/FSL) Weekendtillæg afspadseres.",M66,0)</f>
        <v>0</v>
      </c>
      <c r="N75" s="515">
        <f>IF(Stamoplysninger!$B$26="Der er indgået lokalaftale omkring weekendtimer.(Kræver aftale med TR/FSL) Weekendtillæg afspadseres.",O68,0)</f>
        <v>0</v>
      </c>
      <c r="O75" s="44"/>
      <c r="P75" s="44"/>
      <c r="Q75" s="44"/>
      <c r="R75" s="44"/>
      <c r="S75" s="44"/>
      <c r="T75" s="44"/>
      <c r="V75" s="234"/>
      <c r="W75" s="122"/>
      <c r="X75" s="122"/>
      <c r="Y75" s="1"/>
      <c r="Z75"/>
      <c r="AW75" s="1"/>
      <c r="BH75" s="253"/>
      <c r="BI75" s="253"/>
      <c r="CY75"/>
      <c r="CZ75"/>
    </row>
    <row r="76" spans="1:108" hidden="1">
      <c r="A76" s="547" t="s">
        <v>242</v>
      </c>
      <c r="B76" s="547"/>
      <c r="C76" s="547"/>
      <c r="D76" s="547">
        <f>D75-D69-A85-D74</f>
        <v>21</v>
      </c>
      <c r="E76" s="557"/>
      <c r="F76" s="547" t="s">
        <v>201</v>
      </c>
      <c r="G76" s="547">
        <f>COUNTIFS($B$9:$B$37,"on",[0]!Februar,"Skema 3")</f>
        <v>0</v>
      </c>
      <c r="H76" s="547"/>
      <c r="I76" s="554" t="s">
        <v>488</v>
      </c>
      <c r="J76" s="554"/>
      <c r="K76" s="554"/>
      <c r="L76" s="516"/>
      <c r="M76" s="515">
        <f>IF(Stamoplysninger!$B$26="Der er indgået lokalaftale omkring weekendtimer(Kræver aftale med TR/FSL). Weekendtillæg udbetales.",M66,0)</f>
        <v>0</v>
      </c>
      <c r="N76" s="515">
        <f>IF(Stamoplysninger!$B$26="Der er indgået lokalaftale omkring weekendtimer(Kræver aftale med TR/FSL). Weekendtillæg udbetales.",O68,0)</f>
        <v>0</v>
      </c>
      <c r="V76" s="116"/>
      <c r="Y76" s="1"/>
      <c r="Z76"/>
      <c r="AW76" s="1"/>
      <c r="BH76" s="253"/>
      <c r="BI76" s="253"/>
      <c r="CY76"/>
      <c r="CZ76"/>
    </row>
    <row r="77" spans="1:108" hidden="1">
      <c r="A77" s="547"/>
      <c r="B77" s="547"/>
      <c r="C77" s="547"/>
      <c r="D77" s="547"/>
      <c r="E77" s="547"/>
      <c r="F77" s="547" t="s">
        <v>202</v>
      </c>
      <c r="G77" s="547">
        <f>COUNTIFS($B$9:$B$37,"to",[0]!Februar,"Skema 3")</f>
        <v>0</v>
      </c>
      <c r="H77" s="547"/>
      <c r="I77" s="554" t="s">
        <v>336</v>
      </c>
      <c r="J77" s="554"/>
      <c r="K77" s="554"/>
      <c r="L77" s="518"/>
      <c r="M77" s="517">
        <f>IF(Stamoplysninger!$B$26="Der er indgået lokalaftale omkring weekendtillæg(Kræver aftale med TR/FSL). Weekendtimerne afspadseres.",M66,0)</f>
        <v>0</v>
      </c>
      <c r="N77" s="517">
        <f>IF(Stamoplysninger!$B$26="Der er indgået lokalaftale omkring weekendtillæg(Kræver aftale med TR/FSL). Weekendtimerne afspadseres.",N66,0)</f>
        <v>0</v>
      </c>
      <c r="Y77" s="1"/>
      <c r="Z77"/>
      <c r="AW77" s="1"/>
      <c r="BH77" s="253"/>
      <c r="BI77" s="253"/>
      <c r="CY77"/>
      <c r="CZ77"/>
    </row>
    <row r="78" spans="1:108" hidden="1">
      <c r="A78" s="547"/>
      <c r="B78" s="547"/>
      <c r="C78" s="547"/>
      <c r="D78" s="547"/>
      <c r="E78" s="547"/>
      <c r="F78" s="547" t="s">
        <v>203</v>
      </c>
      <c r="G78" s="547">
        <f>COUNTIFS($B$9:$B$37,"fr",[0]!Februar,"Skema 3")</f>
        <v>0</v>
      </c>
      <c r="H78" s="547">
        <v>1</v>
      </c>
      <c r="I78" s="554" t="s">
        <v>337</v>
      </c>
      <c r="J78" s="554"/>
      <c r="K78" s="554"/>
      <c r="L78" s="518"/>
      <c r="M78" s="517">
        <f>IF(Stamoplysninger!$B$26="Der er indgået lokalaftale omkring weekendtillæg(Kræver aftale med TR/FSL). Weekendtimerne udbetales.",M66,0)</f>
        <v>0</v>
      </c>
      <c r="N78" s="517">
        <f>IF(Stamoplysninger!$B$26="Der er indgået lokalaftale omkring weekendtillæg(Kræver aftale med TR/FSL). Weekendtimerne udbetales.",N66,0)</f>
        <v>0</v>
      </c>
      <c r="Y78" s="1"/>
      <c r="Z78"/>
      <c r="AW78" s="1"/>
      <c r="BH78" s="253"/>
      <c r="BI78" s="253"/>
      <c r="CY78"/>
      <c r="CZ78"/>
    </row>
    <row r="79" spans="1:108" hidden="1">
      <c r="A79" s="547" t="s">
        <v>298</v>
      </c>
      <c r="B79" s="547"/>
      <c r="C79" s="547"/>
      <c r="D79" s="547"/>
      <c r="E79" s="547"/>
      <c r="F79" s="547"/>
      <c r="G79" s="547"/>
      <c r="H79" s="547">
        <v>2</v>
      </c>
      <c r="I79" s="554" t="s">
        <v>489</v>
      </c>
      <c r="J79" s="554"/>
      <c r="K79" s="554"/>
      <c r="L79" s="518"/>
      <c r="M79" s="517">
        <f>IF(Stamoplysninger!$B$26="Der er indgået lokalaftale omkring weekendtillæg(Kræver aftale med TR/FSL). Weekendtimerne afspadseres.",M66,0)</f>
        <v>0</v>
      </c>
      <c r="N79" s="517">
        <f>IF(Stamoplysninger!$B$26="Der er indgået lokalaftale omkring weekendtillæg(Kræver aftale med TR/FSL). Weekendtimerne afspadseres.",N66,0)</f>
        <v>0</v>
      </c>
      <c r="Y79" s="1"/>
      <c r="Z79"/>
      <c r="AW79" s="1"/>
      <c r="BH79" s="253"/>
      <c r="BI79" s="253"/>
      <c r="CY79"/>
      <c r="CZ79"/>
    </row>
    <row r="80" spans="1:108" hidden="1">
      <c r="A80" s="547">
        <f>COUNTIF($C$11:$C$12,"Skema 1")+COUNTIF($C$11:$C$12,"Skema 2")+COUNTIF($C$11:$C$12,"Skema 3")+COUNTIF($C$11:$C$12,"Skema 4")+COUNTIF($C$11:$C$12,"Fagdag")+COUNTIF($C$11:$C$12,"Emnedag")+COUNTIF($C$11:$C$12,"Lejrskole")+COUNTIF($C$11:$C$12,"Ekskursion")+COUNTIF($C$11:$C$12,"Pæd.dag")</f>
        <v>0</v>
      </c>
      <c r="B80" s="547"/>
      <c r="C80" s="547"/>
      <c r="D80" s="547"/>
      <c r="E80" s="547"/>
      <c r="F80" s="547" t="s">
        <v>204</v>
      </c>
      <c r="G80" s="547">
        <f>COUNTIFS($B$9:$B$37,"ma",[0]!Februar,"Skema 4")</f>
        <v>0</v>
      </c>
      <c r="H80" s="547"/>
      <c r="I80" s="554" t="s">
        <v>490</v>
      </c>
      <c r="J80" s="554"/>
      <c r="K80" s="554"/>
      <c r="L80" s="518"/>
      <c r="M80" s="517">
        <f>IF(Stamoplysninger!$B$26="Der er indgået lokalaftale omkring weekendtillæg(Kræver aftale med TR/FSL). Weekendtimerne udbetales.",M66,0)</f>
        <v>0</v>
      </c>
      <c r="N80" s="517">
        <f>IF(Stamoplysninger!$B$26="Der er indgået lokalaftale omkring weekendtillæg(Kræver aftale med TR/FSL). Weekendtimerne udbetales.",N66,0)</f>
        <v>0</v>
      </c>
      <c r="Y80"/>
      <c r="Z80"/>
      <c r="AO80" s="1"/>
      <c r="BL80" s="1"/>
      <c r="BW80" s="253"/>
      <c r="BX80" s="253"/>
      <c r="CY80"/>
      <c r="CZ80"/>
    </row>
    <row r="81" spans="1:111" hidden="1">
      <c r="A81" s="547">
        <f>COUNTIF($C$18:$C$19,"Skema 1")+COUNTIF($C$18:$C$19,"Skema 2")+COUNTIF($C$18:$C$19,"Skema 3")+COUNTIF($C$18:$C$19,"Skema 4")+COUNTIF($C$18:$C$19,"Fagdag")+COUNTIF($C$18:$C$19,"Emnedag")+COUNTIF($C$18:$C$19,"Lejrskole")+COUNTIF($C$18:$C$19,"Ekskursion")+COUNTIF($C$18:$C$19,"Pæd.dag")</f>
        <v>0</v>
      </c>
      <c r="B81" s="547"/>
      <c r="C81" s="547"/>
      <c r="D81" s="547"/>
      <c r="E81" s="547"/>
      <c r="F81" s="547" t="s">
        <v>205</v>
      </c>
      <c r="G81" s="547">
        <f>COUNTIFS($B$9:$B$37,"ti",[0]!Februar,"Skema 4")</f>
        <v>0</v>
      </c>
      <c r="H81" s="547"/>
      <c r="I81" s="547" t="s">
        <v>486</v>
      </c>
      <c r="J81" s="552"/>
      <c r="K81" s="552"/>
      <c r="L81" s="477"/>
      <c r="M81" s="463">
        <f>IF(Stamoplysninger!$B$26="Der er indgået lokalaftale omkring weekendtimer og weekendtillæg.(Kræver aftale med TR/FSL).",M66,0)</f>
        <v>0</v>
      </c>
      <c r="N81" s="463"/>
      <c r="Y81"/>
      <c r="Z81"/>
      <c r="AO81" s="1"/>
      <c r="BL81" s="1"/>
      <c r="BW81" s="253"/>
      <c r="BX81" s="253"/>
      <c r="CY81"/>
      <c r="CZ81"/>
    </row>
    <row r="82" spans="1:111" hidden="1">
      <c r="A82" s="547">
        <f>COUNTIF($C$25:$C$26,"Skema 1")+COUNTIF($C$25:$C$26,"Skema 2")+COUNTIF($C$25:$C$26,"Skema 3")+COUNTIF($C$25:$C$26,"Skema 4")+COUNTIF($C$25:$C$26,"Fagdag")+COUNTIF($C$25:$C$26,"Emnedag")+COUNTIF($C$25:$C$26,"Lejrskole")+COUNTIF($C$25:$C$26,"Ekskursion")+COUNTIF($C$25:$C$26,"Pæd.dag")</f>
        <v>0</v>
      </c>
      <c r="B82" s="547"/>
      <c r="C82" s="547"/>
      <c r="D82" s="547"/>
      <c r="E82" s="547"/>
      <c r="F82" s="547" t="s">
        <v>206</v>
      </c>
      <c r="G82" s="547">
        <f>COUNTIFS($B$9:$B$37,"on",[0]!Februar,"Skema 4")</f>
        <v>0</v>
      </c>
      <c r="H82" s="547"/>
      <c r="I82" s="547"/>
      <c r="J82" s="552"/>
      <c r="K82" s="552"/>
      <c r="L82" s="477"/>
      <c r="Y82"/>
      <c r="Z82"/>
      <c r="AO82" s="1"/>
      <c r="BL82" s="1"/>
      <c r="BW82" s="253"/>
      <c r="BX82" s="253"/>
      <c r="CY82"/>
      <c r="CZ82"/>
    </row>
    <row r="83" spans="1:111" hidden="1">
      <c r="A83" s="547">
        <f>COUNTIF($C$32:$C$33,"Skema 1")+COUNTIF($C$32:$C$33,"Skema 2")+COUNTIF($C$32:$C$33,"Skema 3")+COUNTIF($C$32:$C$33,"Skema 4")+COUNTIF($C$32:$C$33,"Fagdag")+COUNTIF($C$32:$C$33,"Emnedag")+COUNTIF($C$32:$C$33,"Lejrskole")+COUNTIF($C$32:$C$33,"Ekskursion")+COUNTIF($C$32:$C$33,"Pæd.dag")</f>
        <v>0</v>
      </c>
      <c r="B83" s="547"/>
      <c r="C83" s="547"/>
      <c r="D83" s="547"/>
      <c r="E83" s="547"/>
      <c r="F83" s="547" t="s">
        <v>207</v>
      </c>
      <c r="G83" s="547">
        <f>COUNTIFS($B$9:$B$37,"to",[0]!Februar,"Skema 4")</f>
        <v>0</v>
      </c>
      <c r="H83" s="547"/>
      <c r="I83" s="547"/>
      <c r="J83" s="552"/>
      <c r="K83" s="552"/>
      <c r="L83" s="477"/>
      <c r="Y83"/>
      <c r="Z83"/>
      <c r="AO83" s="1">
        <f>SUM(N83:AN83)</f>
        <v>0</v>
      </c>
      <c r="BL83" s="1">
        <f>SUM(AI83:BK83)</f>
        <v>0</v>
      </c>
      <c r="BW83" s="253"/>
      <c r="BX83" s="253"/>
      <c r="CY83"/>
      <c r="CZ83"/>
    </row>
    <row r="84" spans="1:111" hidden="1">
      <c r="A84" s="547"/>
      <c r="B84" s="547"/>
      <c r="C84" s="547"/>
      <c r="D84" s="547"/>
      <c r="E84" s="547"/>
      <c r="F84" s="547" t="s">
        <v>208</v>
      </c>
      <c r="G84" s="547">
        <f>COUNTIFS($B$9:$B$37,"fr",[0]!Februar,"Skema 4")</f>
        <v>0</v>
      </c>
      <c r="H84" s="547"/>
      <c r="I84" s="552"/>
      <c r="J84" s="552"/>
      <c r="K84" s="552"/>
      <c r="L84" s="477"/>
      <c r="Y84"/>
      <c r="Z84"/>
      <c r="AO84" s="1">
        <f>SUM(N84:AN84)</f>
        <v>0</v>
      </c>
      <c r="BL84" s="1">
        <f>SUM(AI84:BK84)</f>
        <v>0</v>
      </c>
      <c r="BW84" s="253"/>
      <c r="BX84" s="253"/>
      <c r="CY84"/>
      <c r="CZ84"/>
    </row>
    <row r="85" spans="1:111" hidden="1">
      <c r="A85" s="547">
        <f>SUM(A80:A84)</f>
        <v>0</v>
      </c>
      <c r="B85" s="547"/>
      <c r="C85" s="547"/>
      <c r="D85" s="547"/>
      <c r="E85" s="547"/>
      <c r="F85" s="547"/>
      <c r="G85" s="555">
        <f>SUM(G62:G84)</f>
        <v>16</v>
      </c>
      <c r="H85" s="552"/>
      <c r="I85" s="552"/>
      <c r="J85" s="552"/>
      <c r="K85" s="552"/>
      <c r="L85" s="477"/>
      <c r="Y85"/>
      <c r="Z85"/>
      <c r="AO85" s="1">
        <f>SUM(N85:AN85)</f>
        <v>0</v>
      </c>
      <c r="BL85" s="1">
        <f>SUM(AI85:BK85)</f>
        <v>0</v>
      </c>
      <c r="BW85" s="253"/>
      <c r="BX85" s="253"/>
      <c r="CY85"/>
      <c r="CZ85"/>
    </row>
    <row r="86" spans="1:111" hidden="1">
      <c r="A86" s="552"/>
      <c r="B86" s="552"/>
      <c r="C86" s="552"/>
      <c r="D86" s="552"/>
      <c r="E86" s="547"/>
      <c r="F86" s="547"/>
      <c r="G86" s="547"/>
      <c r="H86" s="552"/>
      <c r="I86" s="552"/>
      <c r="J86" s="552"/>
      <c r="K86" s="552"/>
      <c r="L86" s="477"/>
      <c r="Y86"/>
      <c r="Z86"/>
      <c r="AO86" s="1">
        <f>SUM(N86:AN86)</f>
        <v>0</v>
      </c>
      <c r="BL86" s="1">
        <f>SUM(AI86:BK86)</f>
        <v>0</v>
      </c>
      <c r="BW86" s="253"/>
      <c r="BX86" s="253"/>
      <c r="CY86"/>
      <c r="CZ86"/>
    </row>
    <row r="87" spans="1:111" hidden="1">
      <c r="A87" s="552"/>
      <c r="B87" s="552"/>
      <c r="C87" s="552"/>
      <c r="D87" s="552"/>
      <c r="E87" s="547"/>
      <c r="F87" s="547"/>
      <c r="G87" s="547"/>
      <c r="H87" s="552"/>
      <c r="I87" s="552"/>
      <c r="J87" s="552"/>
      <c r="K87" s="552"/>
      <c r="L87" s="477"/>
      <c r="Y87"/>
      <c r="Z87"/>
      <c r="BW87" s="253"/>
      <c r="BX87" s="253"/>
      <c r="CY87"/>
      <c r="CZ87"/>
    </row>
    <row r="88" spans="1:111">
      <c r="A88" s="552"/>
      <c r="B88" s="552"/>
      <c r="C88" s="552"/>
      <c r="D88" s="552"/>
      <c r="E88" s="547"/>
      <c r="F88" s="547"/>
      <c r="G88" s="547"/>
      <c r="H88" s="552"/>
      <c r="I88" s="552"/>
      <c r="J88" s="552"/>
      <c r="K88" s="552"/>
      <c r="L88" s="477"/>
      <c r="Y88"/>
      <c r="Z88"/>
      <c r="BW88" s="253"/>
      <c r="BX88" s="253"/>
      <c r="CY88"/>
      <c r="CZ88"/>
    </row>
    <row r="89" spans="1:111">
      <c r="A89" s="552"/>
      <c r="B89" s="552"/>
      <c r="C89" s="552"/>
      <c r="D89" s="552"/>
      <c r="E89" s="547"/>
      <c r="F89" s="547"/>
      <c r="G89" s="547"/>
      <c r="H89" s="552"/>
      <c r="I89" s="552"/>
      <c r="J89" s="552"/>
      <c r="K89" s="552"/>
      <c r="L89" s="477"/>
      <c r="Y89"/>
      <c r="Z89"/>
      <c r="BW89" s="253"/>
      <c r="BX89" s="253"/>
      <c r="CY89"/>
      <c r="CZ89"/>
    </row>
    <row r="90" spans="1:111">
      <c r="A90" s="552"/>
      <c r="B90" s="552"/>
      <c r="C90" s="552"/>
      <c r="D90" s="552"/>
      <c r="E90" s="547"/>
      <c r="F90" s="547"/>
      <c r="G90" s="547"/>
      <c r="H90" s="552"/>
      <c r="I90" s="552"/>
      <c r="J90" s="552"/>
      <c r="K90" s="552"/>
      <c r="L90" s="477"/>
      <c r="Y90"/>
      <c r="Z90"/>
      <c r="BW90" s="253"/>
      <c r="BX90" s="253"/>
      <c r="CY90"/>
      <c r="CZ90"/>
    </row>
    <row r="91" spans="1:111">
      <c r="A91" s="552"/>
      <c r="B91" s="552"/>
      <c r="C91" s="552"/>
      <c r="D91" s="552"/>
      <c r="E91" s="547"/>
      <c r="F91" s="547"/>
      <c r="G91" s="547"/>
      <c r="H91" s="552"/>
      <c r="I91" s="552"/>
      <c r="J91" s="552"/>
      <c r="K91" s="552"/>
      <c r="L91" s="477"/>
      <c r="Y91"/>
      <c r="Z91"/>
      <c r="BW91" s="253"/>
      <c r="BX91" s="253"/>
      <c r="CY91"/>
      <c r="CZ91"/>
    </row>
    <row r="92" spans="1:111">
      <c r="A92" s="552"/>
      <c r="B92" s="552"/>
      <c r="C92" s="552"/>
      <c r="D92" s="552"/>
      <c r="E92" s="547"/>
      <c r="F92" s="547"/>
      <c r="G92" s="547"/>
      <c r="H92" s="552"/>
      <c r="I92" s="552"/>
      <c r="J92" s="552"/>
      <c r="K92" s="552"/>
      <c r="L92" s="477"/>
      <c r="Y92"/>
      <c r="Z92"/>
      <c r="AD92" s="4"/>
      <c r="AE92" s="235"/>
      <c r="AF92" s="235"/>
      <c r="AG92" s="235"/>
      <c r="AH92" s="235"/>
      <c r="CY92"/>
      <c r="CZ92"/>
      <c r="DF92" s="253"/>
      <c r="DG92" s="253"/>
    </row>
    <row r="93" spans="1:111">
      <c r="A93" s="552"/>
      <c r="B93" s="552"/>
      <c r="C93" s="552"/>
      <c r="D93" s="552"/>
      <c r="E93" s="547"/>
      <c r="F93" s="547"/>
      <c r="G93" s="547"/>
      <c r="H93" s="552"/>
      <c r="I93" s="552"/>
      <c r="J93" s="552"/>
      <c r="K93" s="552"/>
      <c r="Y93"/>
      <c r="Z93"/>
      <c r="AD93" s="4"/>
      <c r="AE93" s="235"/>
      <c r="AF93" s="235"/>
      <c r="AG93" s="235"/>
      <c r="AH93" s="235"/>
      <c r="CY93"/>
      <c r="CZ93"/>
      <c r="DF93" s="253"/>
      <c r="DG93" s="253"/>
    </row>
    <row r="94" spans="1:111">
      <c r="A94" s="552"/>
      <c r="B94" s="552"/>
      <c r="C94" s="552"/>
      <c r="D94" s="552"/>
      <c r="E94" s="547"/>
      <c r="F94" s="547"/>
      <c r="G94" s="547"/>
      <c r="H94" s="552"/>
      <c r="I94" s="552"/>
      <c r="J94" s="552"/>
      <c r="K94" s="552"/>
      <c r="Y94"/>
      <c r="Z94"/>
    </row>
    <row r="95" spans="1:111">
      <c r="A95" s="552"/>
      <c r="B95" s="552"/>
      <c r="C95" s="552"/>
      <c r="D95" s="552"/>
      <c r="E95" s="547"/>
      <c r="F95" s="547"/>
      <c r="G95" s="547"/>
      <c r="H95" s="552"/>
      <c r="I95" s="552"/>
      <c r="J95" s="552"/>
      <c r="K95" s="552"/>
    </row>
    <row r="96" spans="1:111">
      <c r="A96" s="552"/>
      <c r="B96" s="552"/>
      <c r="C96" s="552"/>
      <c r="D96" s="552"/>
      <c r="E96" s="552"/>
      <c r="F96" s="552"/>
      <c r="G96" s="552"/>
      <c r="H96" s="552"/>
      <c r="I96" s="552"/>
      <c r="J96" s="552"/>
      <c r="K96" s="552"/>
    </row>
  </sheetData>
  <sheetProtection sheet="1" objects="1" scenarios="1"/>
  <mergeCells count="140">
    <mergeCell ref="Q6:Q7"/>
    <mergeCell ref="R6:R7"/>
    <mergeCell ref="AA6:AE6"/>
    <mergeCell ref="AG6:AK6"/>
    <mergeCell ref="E6:G8"/>
    <mergeCell ref="K6:L6"/>
    <mergeCell ref="N6:N7"/>
    <mergeCell ref="O6:O7"/>
    <mergeCell ref="B2:E2"/>
    <mergeCell ref="E4:G4"/>
    <mergeCell ref="K4:L4"/>
    <mergeCell ref="A5:R5"/>
    <mergeCell ref="A4:D4"/>
    <mergeCell ref="I8:J8"/>
    <mergeCell ref="K8:R8"/>
    <mergeCell ref="I6:I7"/>
    <mergeCell ref="J6:J7"/>
    <mergeCell ref="S5:X5"/>
    <mergeCell ref="S6:X6"/>
    <mergeCell ref="S8:U8"/>
    <mergeCell ref="V8:X8"/>
    <mergeCell ref="A3:X3"/>
    <mergeCell ref="E11:G11"/>
    <mergeCell ref="E12:G12"/>
    <mergeCell ref="E13:G13"/>
    <mergeCell ref="E14:G14"/>
    <mergeCell ref="E15:G15"/>
    <mergeCell ref="E16:G16"/>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P6:P7"/>
    <mergeCell ref="E23:G23"/>
    <mergeCell ref="E24:G24"/>
    <mergeCell ref="E25:G25"/>
    <mergeCell ref="E26:G26"/>
    <mergeCell ref="E27:G27"/>
    <mergeCell ref="E28:G28"/>
    <mergeCell ref="E17:G17"/>
    <mergeCell ref="E18:G18"/>
    <mergeCell ref="E19:G19"/>
    <mergeCell ref="E20:G20"/>
    <mergeCell ref="E21:G21"/>
    <mergeCell ref="E22:G22"/>
    <mergeCell ref="E36:G36"/>
    <mergeCell ref="A38:I38"/>
    <mergeCell ref="A40:G40"/>
    <mergeCell ref="I40:K40"/>
    <mergeCell ref="E29:G29"/>
    <mergeCell ref="E30:G30"/>
    <mergeCell ref="E31:G31"/>
    <mergeCell ref="E33:G33"/>
    <mergeCell ref="E34:G34"/>
    <mergeCell ref="E35:G35"/>
    <mergeCell ref="E32:G32"/>
    <mergeCell ref="E37:G37"/>
    <mergeCell ref="A43:G43"/>
    <mergeCell ref="I43:K43"/>
    <mergeCell ref="A44:G44"/>
    <mergeCell ref="I44:K44"/>
    <mergeCell ref="A41:G41"/>
    <mergeCell ref="I41:K41"/>
    <mergeCell ref="A42:G42"/>
    <mergeCell ref="I42:K42"/>
    <mergeCell ref="A46:H46"/>
    <mergeCell ref="I46:K46"/>
    <mergeCell ref="I45:K45"/>
    <mergeCell ref="I47:K47"/>
    <mergeCell ref="M50:U50"/>
    <mergeCell ref="M45:X45"/>
    <mergeCell ref="M46:U46"/>
    <mergeCell ref="V46:X46"/>
    <mergeCell ref="M47:U47"/>
    <mergeCell ref="V47:X47"/>
    <mergeCell ref="M48:U48"/>
    <mergeCell ref="V48:X48"/>
    <mergeCell ref="M49:U49"/>
    <mergeCell ref="V49:X49"/>
    <mergeCell ref="A65:C65"/>
    <mergeCell ref="A63:C63"/>
    <mergeCell ref="A54:K54"/>
    <mergeCell ref="A55:B55"/>
    <mergeCell ref="C55:D55"/>
    <mergeCell ref="E55:G55"/>
    <mergeCell ref="H55:K55"/>
    <mergeCell ref="A56:B56"/>
    <mergeCell ref="C56:D56"/>
    <mergeCell ref="E56:G56"/>
    <mergeCell ref="I56:K56"/>
    <mergeCell ref="A57:B57"/>
    <mergeCell ref="C57:D57"/>
    <mergeCell ref="E57:G57"/>
    <mergeCell ref="I57:K57"/>
    <mergeCell ref="A58:B58"/>
    <mergeCell ref="A64:C64"/>
    <mergeCell ref="C58:D58"/>
    <mergeCell ref="E58:G58"/>
    <mergeCell ref="I58:K58"/>
    <mergeCell ref="A59:B59"/>
    <mergeCell ref="C59:D59"/>
    <mergeCell ref="E59:G59"/>
    <mergeCell ref="I59:K59"/>
    <mergeCell ref="A60:G60"/>
    <mergeCell ref="I60:K60"/>
    <mergeCell ref="M40:X40"/>
    <mergeCell ref="M41:U41"/>
    <mergeCell ref="V41:X41"/>
    <mergeCell ref="M42:U42"/>
    <mergeCell ref="V42:X42"/>
    <mergeCell ref="M43:U43"/>
    <mergeCell ref="V43:X43"/>
    <mergeCell ref="M44:U44"/>
    <mergeCell ref="V44:X44"/>
    <mergeCell ref="V50:X50"/>
    <mergeCell ref="A51:G52"/>
    <mergeCell ref="I51:K51"/>
    <mergeCell ref="M51:U51"/>
    <mergeCell ref="V51:X51"/>
    <mergeCell ref="I52:K52"/>
    <mergeCell ref="A53:G53"/>
    <mergeCell ref="I53:K53"/>
    <mergeCell ref="A48:H48"/>
    <mergeCell ref="I48:K48"/>
    <mergeCell ref="I49:K49"/>
    <mergeCell ref="A45:G45"/>
    <mergeCell ref="A47:H47"/>
  </mergeCells>
  <phoneticPr fontId="5" type="noConversion"/>
  <conditionalFormatting sqref="A9:H31 A32:E32 H32 A33:H37">
    <cfRule type="expression" dxfId="631" priority="41">
      <formula>OR($C9="ekskursion")</formula>
    </cfRule>
    <cfRule type="expression" dxfId="630" priority="47" stopIfTrue="1">
      <formula>OR($C9="Orlov")</formula>
    </cfRule>
    <cfRule type="expression" dxfId="629" priority="46">
      <formula>OR($C9="weekend")</formula>
    </cfRule>
    <cfRule type="expression" dxfId="628" priority="45">
      <formula>OR($C9="feriedag")</formula>
    </cfRule>
    <cfRule type="expression" dxfId="627" priority="44">
      <formula>OR($C9="fagdag")</formula>
    </cfRule>
    <cfRule type="expression" dxfId="626" priority="43">
      <formula>OR($C9="emnedag")</formula>
    </cfRule>
    <cfRule type="expression" dxfId="625" priority="42">
      <formula>OR($C9="lejrskole")</formula>
    </cfRule>
    <cfRule type="expression" dxfId="624" priority="40">
      <formula>OR($C9="SH-dag")</formula>
    </cfRule>
    <cfRule type="expression" dxfId="623" priority="39">
      <formula>OR($C9="nul-dag")</formula>
    </cfRule>
    <cfRule type="expression" dxfId="622" priority="38">
      <formula>OR($C9="pæd.dag")</formula>
    </cfRule>
    <cfRule type="expression" dxfId="621" priority="37">
      <formula>OR($C9="Ikke relevant")</formula>
    </cfRule>
    <cfRule type="expression" dxfId="620" priority="33">
      <formula>OR($C9="Skema 1")</formula>
    </cfRule>
    <cfRule type="expression" dxfId="619" priority="34">
      <formula>OR($C9="skema 2")</formula>
    </cfRule>
    <cfRule type="expression" dxfId="618" priority="35">
      <formula>OR($C9="Skema 3")</formula>
    </cfRule>
    <cfRule type="expression" dxfId="617" priority="36">
      <formula>OR($C9="Skema 4")</formula>
    </cfRule>
  </conditionalFormatting>
  <conditionalFormatting sqref="E20">
    <cfRule type="expression" dxfId="616" priority="49">
      <formula>OR($D19="nul-dag")</formula>
    </cfRule>
    <cfRule type="expression" dxfId="615" priority="50">
      <formula>OR($D19="SH-dag")</formula>
    </cfRule>
    <cfRule type="expression" dxfId="614" priority="51">
      <formula>OR($D19="ekskursion")</formula>
    </cfRule>
    <cfRule type="expression" dxfId="613" priority="52">
      <formula>OR($D19="lejrskole")</formula>
    </cfRule>
    <cfRule type="expression" dxfId="612" priority="48">
      <formula>OR($D19="pæd.dag")</formula>
    </cfRule>
    <cfRule type="expression" dxfId="611" priority="53">
      <formula>OR($D19="emnedag")</formula>
    </cfRule>
    <cfRule type="expression" dxfId="610" priority="54">
      <formula>OR($D19="fagdag")</formula>
    </cfRule>
    <cfRule type="expression" dxfId="609" priority="55">
      <formula>OR($D19="feriedag")</formula>
    </cfRule>
    <cfRule type="expression" dxfId="608" priority="56">
      <formula>OR($D19="weekend")</formula>
    </cfRule>
    <cfRule type="expression" dxfId="607" priority="57" stopIfTrue="1">
      <formula>OR($D19="skoledag")</formula>
    </cfRule>
    <cfRule type="expression" dxfId="606" priority="58">
      <formula>OR($D19="Ikke relevant")</formula>
    </cfRule>
  </conditionalFormatting>
  <conditionalFormatting sqref="H56:H59">
    <cfRule type="expression" dxfId="605" priority="1">
      <formula>OR($A56&gt;0,)</formula>
    </cfRule>
  </conditionalFormatting>
  <conditionalFormatting sqref="I56:I59">
    <cfRule type="expression" dxfId="604" priority="2">
      <formula>OR($C56&gt;0,)</formula>
    </cfRule>
  </conditionalFormatting>
  <conditionalFormatting sqref="K9:K37">
    <cfRule type="expression" dxfId="603" priority="30">
      <formula>OR($C9="Pæd.dag",)</formula>
    </cfRule>
  </conditionalFormatting>
  <conditionalFormatting sqref="K9:L37">
    <cfRule type="expression" dxfId="602" priority="32">
      <formula>OR($C9="Ekskursion",)</formula>
    </cfRule>
    <cfRule type="expression" dxfId="601" priority="31">
      <formula>OR($C9="Lejrskole",)</formula>
    </cfRule>
  </conditionalFormatting>
  <conditionalFormatting sqref="K9:M37">
    <cfRule type="expression" dxfId="600" priority="29">
      <formula>OR($C9="emnedag",)</formula>
    </cfRule>
    <cfRule type="expression" dxfId="599" priority="28">
      <formula>OR($C9="fagdag",)</formula>
    </cfRule>
  </conditionalFormatting>
  <conditionalFormatting sqref="R9:R37">
    <cfRule type="expression" dxfId="598" priority="59">
      <formula>OR($H9&gt;"0",)</formula>
    </cfRule>
  </conditionalFormatting>
  <conditionalFormatting sqref="V9:V37">
    <cfRule type="expression" dxfId="597" priority="10">
      <formula>OR($S9="X",)</formula>
    </cfRule>
  </conditionalFormatting>
  <conditionalFormatting sqref="V47:X50">
    <cfRule type="expression" dxfId="596" priority="3">
      <formula>OR($M47&gt;0,)</formula>
    </cfRule>
  </conditionalFormatting>
  <conditionalFormatting sqref="W9:W37">
    <cfRule type="expression" dxfId="595" priority="8">
      <formula>OR($T9="x",)</formula>
    </cfRule>
  </conditionalFormatting>
  <conditionalFormatting sqref="X9:X37">
    <cfRule type="expression" dxfId="594" priority="9">
      <formula>OR($U9="X",)</formula>
    </cfRule>
  </conditionalFormatting>
  <dataValidations count="3">
    <dataValidation type="list" allowBlank="1" showInputMessage="1" showErrorMessage="1" sqref="S9:U38 A56:D59" xr:uid="{CCDC5417-EBBC-2A45-8AED-7B140D5306A6}">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5:I26 I11:I12 I18:I19 I32:I33" xr:uid="{39997E05-64E9-2E48-A8E7-636E6923A047}">
      <formula1>$W$1:$W$2</formula1>
    </dataValidation>
    <dataValidation type="list" allowBlank="1" showInputMessage="1" showErrorMessage="1" promptTitle="OBS:" prompt="Ved arrangementer med overnatning ydes istedet for ulempe- og weekendgodtgørelse på hhv. 25% og 50% faste tillæg pr. påbegyndt dag. " sqref="J9:J37" xr:uid="{DC11B7B6-EE68-8E49-8E02-43780E361383}">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0F761ACF-C47A-7941-B1E3-D6106BAB2CE1}">
          <x14:formula1>
            <xm:f>August!$A$89:$A$103</xm:f>
          </x14:formula1>
          <xm:sqref>C9:C37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9E450-DFF4-1A4A-81A3-EBD61589D042}">
  <sheetPr>
    <tabColor theme="4" tint="-0.249977111117893"/>
    <pageSetUpPr fitToPage="1"/>
  </sheetPr>
  <dimension ref="A1:DN97"/>
  <sheetViews>
    <sheetView zoomScale="90" workbookViewId="0">
      <selection activeCell="G109" sqref="G109"/>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9"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44"/>
      <c r="Y1" s="251"/>
      <c r="Z1" s="94"/>
      <c r="AB1" s="94"/>
      <c r="AC1" s="94"/>
      <c r="AH1" s="94"/>
      <c r="AI1" s="94"/>
      <c r="CX1" s="253"/>
      <c r="CZ1"/>
    </row>
    <row r="2" spans="1:118" ht="20">
      <c r="A2" s="96">
        <v>3</v>
      </c>
      <c r="B2" s="1009"/>
      <c r="C2" s="1009"/>
      <c r="D2" s="1009"/>
      <c r="E2" s="1009"/>
      <c r="F2" s="94"/>
      <c r="G2" s="94"/>
      <c r="H2" s="292"/>
      <c r="I2" s="291"/>
      <c r="J2" s="234"/>
      <c r="K2" s="234"/>
      <c r="L2" s="234"/>
      <c r="M2" s="234"/>
      <c r="N2" s="234"/>
      <c r="O2" s="234"/>
      <c r="P2" s="94"/>
      <c r="Q2" s="94"/>
      <c r="R2" s="94"/>
      <c r="S2" s="94"/>
      <c r="T2" s="94"/>
      <c r="U2" s="94"/>
      <c r="V2" s="94"/>
      <c r="W2" s="127" t="s">
        <v>31</v>
      </c>
      <c r="X2" s="127" t="s">
        <v>31</v>
      </c>
      <c r="Y2"/>
      <c r="Z2" s="94"/>
      <c r="AB2" s="94"/>
      <c r="AC2" s="94"/>
      <c r="AH2" s="94"/>
      <c r="AI2" s="94"/>
      <c r="CX2" s="253"/>
      <c r="CZ2"/>
    </row>
    <row r="3" spans="1:118">
      <c r="A3" s="1022" t="s">
        <v>316</v>
      </c>
      <c r="B3" s="1023"/>
      <c r="C3" s="1023"/>
      <c r="D3" s="1023"/>
      <c r="E3" s="1023"/>
      <c r="F3" s="1023"/>
      <c r="G3" s="1023"/>
      <c r="H3" s="1023"/>
      <c r="I3" s="1023"/>
      <c r="J3" s="1023"/>
      <c r="K3" s="1023"/>
      <c r="L3" s="1023"/>
      <c r="M3" s="1023"/>
      <c r="N3" s="1023"/>
      <c r="O3" s="1023"/>
      <c r="P3" s="1023"/>
      <c r="Q3" s="1023"/>
      <c r="R3" s="1023"/>
      <c r="S3" s="1023"/>
      <c r="T3" s="1023"/>
      <c r="U3" s="1023"/>
      <c r="V3" s="1023"/>
      <c r="W3" s="1023"/>
      <c r="X3" s="1024"/>
      <c r="Y3"/>
      <c r="Z3"/>
      <c r="AB3" s="94"/>
      <c r="AC3" s="94"/>
      <c r="AF3" s="94"/>
      <c r="CS3" s="253"/>
      <c r="CT3" s="253"/>
      <c r="CY3"/>
      <c r="CZ3"/>
    </row>
    <row r="4" spans="1:118" ht="254" customHeight="1" thickBot="1">
      <c r="A4" s="921" t="s">
        <v>463</v>
      </c>
      <c r="B4" s="922"/>
      <c r="C4" s="922"/>
      <c r="D4" s="922"/>
      <c r="E4" s="923" t="s">
        <v>317</v>
      </c>
      <c r="F4" s="923"/>
      <c r="G4" s="923"/>
      <c r="H4" s="293" t="s">
        <v>442</v>
      </c>
      <c r="I4" s="468" t="s">
        <v>511</v>
      </c>
      <c r="J4" s="468" t="s">
        <v>512</v>
      </c>
      <c r="K4" s="933" t="s">
        <v>579</v>
      </c>
      <c r="L4" s="933"/>
      <c r="M4" s="533" t="s">
        <v>499</v>
      </c>
      <c r="N4" s="533" t="s">
        <v>464</v>
      </c>
      <c r="O4" s="533" t="s">
        <v>465</v>
      </c>
      <c r="P4" s="534" t="s">
        <v>500</v>
      </c>
      <c r="Q4" s="534" t="s">
        <v>315</v>
      </c>
      <c r="R4" s="534" t="s">
        <v>466</v>
      </c>
      <c r="S4" s="535" t="s">
        <v>509</v>
      </c>
      <c r="T4" s="535" t="s">
        <v>467</v>
      </c>
      <c r="U4" s="535" t="s">
        <v>468</v>
      </c>
      <c r="V4" s="536" t="s">
        <v>501</v>
      </c>
      <c r="W4" s="536" t="s">
        <v>427</v>
      </c>
      <c r="X4" s="537" t="s">
        <v>426</v>
      </c>
      <c r="Y4" s="251"/>
      <c r="Z4" s="94"/>
      <c r="AB4" s="94"/>
      <c r="AC4" s="94"/>
      <c r="AH4" s="94"/>
      <c r="AI4" s="94"/>
      <c r="CX4" s="253"/>
      <c r="CZ4"/>
    </row>
    <row r="5" spans="1:118" ht="26" thickBot="1">
      <c r="A5" s="934" t="str">
        <f>""&amp;A7&amp;" måneds kalender for: "&amp;Stamoplysninger!E8&amp;". Måneden vedr. normperioden: "&amp;Stamoplysninger!E11&amp;" - "&amp;Stamoplysninger!G11&amp;"."</f>
        <v>Marts måneds kalender for: . Måneden vedr. normperioden:  - .</v>
      </c>
      <c r="B5" s="935"/>
      <c r="C5" s="935"/>
      <c r="D5" s="935"/>
      <c r="E5" s="935"/>
      <c r="F5" s="935"/>
      <c r="G5" s="935"/>
      <c r="H5" s="935"/>
      <c r="I5" s="935"/>
      <c r="J5" s="935"/>
      <c r="K5" s="935"/>
      <c r="L5" s="935"/>
      <c r="M5" s="935"/>
      <c r="N5" s="935"/>
      <c r="O5" s="935"/>
      <c r="P5" s="935"/>
      <c r="Q5" s="935"/>
      <c r="R5" s="935"/>
      <c r="S5" s="928" t="s">
        <v>312</v>
      </c>
      <c r="T5" s="929"/>
      <c r="U5" s="929"/>
      <c r="V5" s="929"/>
      <c r="W5" s="929"/>
      <c r="X5" s="930"/>
      <c r="Y5" s="251"/>
      <c r="Z5" s="94"/>
      <c r="AB5" s="94"/>
      <c r="AC5" s="94"/>
      <c r="AH5" s="94"/>
      <c r="AI5" s="94"/>
      <c r="CX5" s="253"/>
      <c r="CZ5"/>
    </row>
    <row r="6" spans="1:118" ht="47" customHeight="1">
      <c r="A6" s="346">
        <f>Januar!A6</f>
        <v>2024</v>
      </c>
      <c r="B6" s="246"/>
      <c r="C6" s="247"/>
      <c r="D6" s="248"/>
      <c r="E6" s="941" t="s">
        <v>516</v>
      </c>
      <c r="F6" s="942"/>
      <c r="G6" s="943"/>
      <c r="H6" s="343" t="s">
        <v>344</v>
      </c>
      <c r="I6" s="912" t="s">
        <v>510</v>
      </c>
      <c r="J6" s="939" t="s">
        <v>535</v>
      </c>
      <c r="K6" s="936" t="s">
        <v>309</v>
      </c>
      <c r="L6" s="937"/>
      <c r="M6" s="344" t="s">
        <v>310</v>
      </c>
      <c r="N6" s="912" t="s">
        <v>478</v>
      </c>
      <c r="O6" s="912" t="s">
        <v>314</v>
      </c>
      <c r="P6" s="912" t="s">
        <v>498</v>
      </c>
      <c r="Q6" s="912" t="s">
        <v>413</v>
      </c>
      <c r="R6" s="919" t="s">
        <v>580</v>
      </c>
      <c r="S6" s="913" t="s">
        <v>311</v>
      </c>
      <c r="T6" s="914"/>
      <c r="U6" s="914"/>
      <c r="V6" s="914"/>
      <c r="W6" s="914"/>
      <c r="X6" s="915"/>
      <c r="Y6" s="216"/>
      <c r="Z6" s="216"/>
      <c r="AA6" s="909" t="s">
        <v>264</v>
      </c>
      <c r="AB6" s="909"/>
      <c r="AC6" s="909"/>
      <c r="AD6" s="909"/>
      <c r="AE6" s="909"/>
      <c r="AF6" s="213"/>
      <c r="AG6" s="909" t="s">
        <v>225</v>
      </c>
      <c r="AH6" s="909"/>
      <c r="AI6" s="909"/>
      <c r="AJ6" s="909"/>
      <c r="AK6" s="909"/>
      <c r="AL6" s="909" t="s">
        <v>226</v>
      </c>
      <c r="AM6" s="909"/>
      <c r="AN6" s="909"/>
      <c r="AO6" s="909"/>
      <c r="AP6" s="909"/>
      <c r="AQ6" s="909" t="s">
        <v>227</v>
      </c>
      <c r="AR6" s="909"/>
      <c r="AS6" s="909"/>
      <c r="AT6" s="909"/>
      <c r="AU6" s="909"/>
      <c r="AV6" s="909" t="s">
        <v>228</v>
      </c>
      <c r="AW6" s="909"/>
      <c r="AX6" s="909"/>
      <c r="AY6" s="909"/>
      <c r="AZ6" s="909"/>
      <c r="BA6" s="314"/>
      <c r="BB6" s="213"/>
      <c r="BC6" s="909" t="s">
        <v>267</v>
      </c>
      <c r="BD6" s="909"/>
      <c r="BE6" s="909"/>
      <c r="BF6" s="909"/>
      <c r="BG6" s="909" t="s">
        <v>230</v>
      </c>
      <c r="BH6" s="909"/>
      <c r="BI6" s="909"/>
      <c r="BJ6" s="909"/>
      <c r="BK6" s="909"/>
      <c r="BL6" s="909" t="s">
        <v>231</v>
      </c>
      <c r="BM6" s="909"/>
      <c r="BN6" s="909"/>
      <c r="BO6" s="909"/>
      <c r="BP6" s="909"/>
      <c r="BQ6" s="909" t="s">
        <v>232</v>
      </c>
      <c r="BR6" s="909"/>
      <c r="BS6" s="909"/>
      <c r="BT6" s="909"/>
      <c r="BU6" s="909"/>
      <c r="BV6" s="909" t="s">
        <v>233</v>
      </c>
      <c r="BW6" s="909"/>
      <c r="BX6" s="909"/>
      <c r="BY6" s="909"/>
      <c r="BZ6" s="909"/>
      <c r="CD6" s="909" t="s">
        <v>268</v>
      </c>
      <c r="CE6" s="909"/>
      <c r="CF6" s="909"/>
      <c r="CG6" s="909"/>
      <c r="CH6" s="909"/>
      <c r="CI6" s="909" t="s">
        <v>270</v>
      </c>
      <c r="CJ6" s="909"/>
      <c r="CK6" s="909"/>
      <c r="CL6" s="909"/>
      <c r="CM6" s="909"/>
      <c r="CN6" s="909" t="s">
        <v>269</v>
      </c>
      <c r="CO6" s="909"/>
      <c r="CP6" s="909"/>
      <c r="CQ6" s="909"/>
      <c r="CR6" s="909"/>
      <c r="CS6" s="909" t="s">
        <v>271</v>
      </c>
      <c r="CT6" s="909"/>
      <c r="CU6" s="909"/>
      <c r="CV6" s="909"/>
      <c r="CW6" s="909"/>
      <c r="CX6" s="253"/>
      <c r="CZ6"/>
      <c r="DA6" s="682" t="s">
        <v>215</v>
      </c>
      <c r="DB6" s="682"/>
      <c r="DC6" s="682"/>
      <c r="DD6" s="682"/>
      <c r="DE6" s="682"/>
    </row>
    <row r="7" spans="1:118" ht="156" customHeight="1">
      <c r="A7" s="828" t="s">
        <v>288</v>
      </c>
      <c r="B7" s="829"/>
      <c r="C7" s="829"/>
      <c r="D7" s="830"/>
      <c r="E7" s="944"/>
      <c r="F7" s="945"/>
      <c r="G7" s="946"/>
      <c r="H7" s="910" t="s">
        <v>534</v>
      </c>
      <c r="I7" s="938"/>
      <c r="J7" s="940"/>
      <c r="K7" s="345" t="s">
        <v>581</v>
      </c>
      <c r="L7" s="345" t="s">
        <v>582</v>
      </c>
      <c r="M7" s="345" t="s">
        <v>583</v>
      </c>
      <c r="N7" s="911"/>
      <c r="O7" s="911"/>
      <c r="P7" s="911"/>
      <c r="Q7" s="911"/>
      <c r="R7" s="920"/>
      <c r="S7" s="539" t="s">
        <v>508</v>
      </c>
      <c r="T7" s="344" t="s">
        <v>313</v>
      </c>
      <c r="U7" s="344" t="s">
        <v>428</v>
      </c>
      <c r="V7" s="475" t="s">
        <v>470</v>
      </c>
      <c r="W7" s="475" t="s">
        <v>469</v>
      </c>
      <c r="X7" s="476" t="s">
        <v>425</v>
      </c>
      <c r="Y7" s="216" t="s">
        <v>282</v>
      </c>
      <c r="Z7" s="216" t="s">
        <v>283</v>
      </c>
      <c r="AA7" s="316" t="s">
        <v>214</v>
      </c>
      <c r="AB7" t="s">
        <v>137</v>
      </c>
      <c r="AC7" t="s">
        <v>140</v>
      </c>
      <c r="AD7" t="s">
        <v>139</v>
      </c>
      <c r="AE7" t="s">
        <v>138</v>
      </c>
      <c r="AF7" t="s">
        <v>444</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266</v>
      </c>
      <c r="BD7" t="s">
        <v>265</v>
      </c>
      <c r="BE7" t="s">
        <v>251</v>
      </c>
      <c r="BF7" t="s">
        <v>252</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254</v>
      </c>
      <c r="CC7" s="316" t="s">
        <v>255</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280</v>
      </c>
      <c r="CY7" s="253" t="s">
        <v>272</v>
      </c>
      <c r="CZ7" s="253" t="s">
        <v>273</v>
      </c>
      <c r="DA7" s="253" t="s">
        <v>274</v>
      </c>
      <c r="DB7" s="253" t="s">
        <v>275</v>
      </c>
      <c r="DC7" s="253" t="s">
        <v>276</v>
      </c>
      <c r="DD7" s="253" t="s">
        <v>277</v>
      </c>
      <c r="DE7" s="253" t="s">
        <v>278</v>
      </c>
      <c r="DF7" s="253" t="s">
        <v>279</v>
      </c>
      <c r="DG7" s="253"/>
    </row>
    <row r="8" spans="1:118" ht="20" customHeight="1">
      <c r="A8" s="831"/>
      <c r="B8" s="832"/>
      <c r="C8" s="832"/>
      <c r="D8" s="833"/>
      <c r="E8" s="947"/>
      <c r="F8" s="948"/>
      <c r="G8" s="949"/>
      <c r="H8" s="911"/>
      <c r="I8" s="931" t="s">
        <v>409</v>
      </c>
      <c r="J8" s="918"/>
      <c r="K8" s="931" t="s">
        <v>346</v>
      </c>
      <c r="L8" s="917"/>
      <c r="M8" s="917"/>
      <c r="N8" s="917"/>
      <c r="O8" s="917"/>
      <c r="P8" s="917"/>
      <c r="Q8" s="917"/>
      <c r="R8" s="917"/>
      <c r="S8" s="916" t="s">
        <v>409</v>
      </c>
      <c r="T8" s="917"/>
      <c r="U8" s="918"/>
      <c r="V8" s="931" t="s">
        <v>410</v>
      </c>
      <c r="W8" s="917"/>
      <c r="X8" s="932"/>
      <c r="Y8" s="216"/>
      <c r="Z8" s="216"/>
      <c r="AA8" s="316"/>
      <c r="BB8" s="232"/>
      <c r="CA8" s="116"/>
      <c r="CB8" s="238"/>
      <c r="CC8" s="316"/>
      <c r="CX8" s="253"/>
      <c r="DA8" s="253"/>
      <c r="DB8" s="253"/>
      <c r="DC8" s="253"/>
      <c r="DD8" s="253"/>
      <c r="DE8" s="253"/>
      <c r="DF8" s="253"/>
      <c r="DG8" s="253"/>
      <c r="DH8" t="s">
        <v>543</v>
      </c>
      <c r="DI8" t="s">
        <v>544</v>
      </c>
      <c r="DJ8" t="s">
        <v>545</v>
      </c>
    </row>
    <row r="9" spans="1:118">
      <c r="A9" s="249">
        <f>IF(ISNUMBER(A7),A7+1,1)</f>
        <v>1</v>
      </c>
      <c r="B9" s="132" t="str">
        <f t="shared" ref="B9:B39" si="0">CHOOSE(MOD(WEEKDAY(DATE(A$6,A$2,A9)),7)+1,"lø","sø","ma","ti","on","to","fr",)</f>
        <v>fr</v>
      </c>
      <c r="C9" s="133" t="s">
        <v>209</v>
      </c>
      <c r="D9" s="134" t="str">
        <f t="shared" ref="D9:D39" si="1">IF(B9="ma",(DATE(A$6,A$2,A9)-DATE(A$6,1,1)+7)/7,"")</f>
        <v/>
      </c>
      <c r="E9" s="871"/>
      <c r="F9" s="872"/>
      <c r="G9" s="873"/>
      <c r="H9" s="313"/>
      <c r="I9" s="582"/>
      <c r="J9" s="440"/>
      <c r="K9" s="405"/>
      <c r="L9" s="405"/>
      <c r="M9" s="405"/>
      <c r="N9" s="334">
        <f>BA9</f>
        <v>0</v>
      </c>
      <c r="O9" s="334">
        <f>CA9</f>
        <v>0</v>
      </c>
      <c r="P9" s="334">
        <f>IF(Stamoplysninger!$H$29="JA",Marts!DG9,CX9)</f>
        <v>0</v>
      </c>
      <c r="Q9" s="334">
        <f>IF(OR(C9="Lejrskole",C9="Ekskursion"),0,N9-O9-P9)</f>
        <v>0</v>
      </c>
      <c r="R9" s="335"/>
      <c r="S9" s="341"/>
      <c r="T9" s="342"/>
      <c r="U9" s="342"/>
      <c r="V9" s="336"/>
      <c r="W9" s="472"/>
      <c r="X9" s="337"/>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f>IF(AND(C9="Skema 1",B9="fr"),Arbejdstidsoversigt!$E$48,"")</f>
        <v>0</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9" si="8">SUM(AG9:AK9)*24</f>
        <v>0</v>
      </c>
      <c r="BC9" s="1">
        <f>IF($C$9="Lejrskole",$L$9,0)</f>
        <v>0</v>
      </c>
      <c r="BD9" s="1">
        <f t="shared" ref="BD9:BD39" si="9">IF(C9="Ekskursion",L9,0)</f>
        <v>0</v>
      </c>
      <c r="BE9" s="1">
        <f t="shared" ref="BE9:BE39" si="10">IF(C9="fagdag",L9,0)</f>
        <v>0</v>
      </c>
      <c r="BF9" s="1">
        <f t="shared" ref="BF9:BF39" si="11">IF(C9="emnedag",L9,0)</f>
        <v>0</v>
      </c>
      <c r="BG9" s="214" t="str">
        <f>IF(AND($C$9="Skema 1",$B$9="ma"),Skemaoplysninger!E30,"")</f>
        <v/>
      </c>
      <c r="BH9" s="214" t="str">
        <f>IF(AND(C9="Skema 1",B9="ti"),Skemaoplysninger!$F$30,"")</f>
        <v/>
      </c>
      <c r="BI9" s="214" t="str">
        <f>IF(AND(C9="Skema 1",B9="on"),Skemaoplysninger!$G$30,"")</f>
        <v/>
      </c>
      <c r="BJ9" s="214" t="str">
        <f>IF(AND(C9="Skema 1",B9="to"),Skemaoplysninger!$H$30,"")</f>
        <v/>
      </c>
      <c r="BK9" s="214">
        <f>IF(AND(C9="Skema 1",B9="fr"),Skemaoplysninger!$I$30,"")</f>
        <v>0</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9" si="12">IF(C9="fagdag",M9,0)</f>
        <v>0</v>
      </c>
      <c r="CC9" s="1">
        <f t="shared" ref="CC9:CC39" si="13">IF(C9="emnedag",M9,0)</f>
        <v>0</v>
      </c>
      <c r="CD9" s="214" t="str">
        <f>IF(AND(C9="Skema 1",B9="ma"),Skemaoplysninger!$E$39,"")</f>
        <v/>
      </c>
      <c r="CE9" s="214" t="str">
        <f>IF(AND(C9="Skema 1",B9="ti"),Skemaoplysninger!$F$39,"")</f>
        <v/>
      </c>
      <c r="CF9" s="214" t="str">
        <f>IF(AND(C9="Skema 1",B9="on"),Skemaoplysninger!$G$39,"")</f>
        <v/>
      </c>
      <c r="CG9" s="214" t="str">
        <f>IF(AND(C9="Skema 1",B9="to"),Skemaoplysninger!$H$39,"")</f>
        <v/>
      </c>
      <c r="CH9" s="214">
        <f>IF(AND(C9="Skema 1",B9="fr"),Skemaoplysninger!$I$39,"")</f>
        <v>0</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8" si="14">IF(DH9=0,"",DH9)</f>
        <v/>
      </c>
      <c r="DL9" t="str">
        <f>IF(DI9=0,"",DI9)</f>
        <v/>
      </c>
      <c r="DM9" t="str">
        <f>IF(DJ9=0,"",DJ9)</f>
        <v/>
      </c>
      <c r="DN9" t="str">
        <f>DK9&amp;""&amp;DL9&amp;""&amp;DM9</f>
        <v/>
      </c>
    </row>
    <row r="10" spans="1:118">
      <c r="A10" s="249">
        <f t="shared" ref="A10:A38" si="15">IF(ISNUMBER(A9),A9+1,1)</f>
        <v>2</v>
      </c>
      <c r="B10" s="132" t="str">
        <f t="shared" si="0"/>
        <v>lø</v>
      </c>
      <c r="C10" s="133" t="s">
        <v>121</v>
      </c>
      <c r="D10" s="134" t="str">
        <f t="shared" si="1"/>
        <v/>
      </c>
      <c r="E10" s="871"/>
      <c r="F10" s="872"/>
      <c r="G10" s="873"/>
      <c r="H10" s="313"/>
      <c r="I10" s="440"/>
      <c r="J10" s="440"/>
      <c r="K10" s="405"/>
      <c r="L10" s="405"/>
      <c r="M10" s="405"/>
      <c r="N10" s="334">
        <f t="shared" ref="N10:N39" si="16">BA10</f>
        <v>0</v>
      </c>
      <c r="O10" s="334">
        <f t="shared" ref="O10:O39" si="17">CA10</f>
        <v>0</v>
      </c>
      <c r="P10" s="334">
        <f>IF(Stamoplysninger!$H$29="JA",Marts!DG10,CX10)</f>
        <v>0</v>
      </c>
      <c r="Q10" s="334">
        <f t="shared" ref="Q10:Q39" si="18">IF(OR(C10="Lejrskole",C10="Ekskursion"),0,N10-O10-P10)</f>
        <v>0</v>
      </c>
      <c r="R10" s="335"/>
      <c r="S10" s="341"/>
      <c r="T10" s="342"/>
      <c r="U10" s="342"/>
      <c r="V10" s="336"/>
      <c r="W10" s="472"/>
      <c r="X10" s="337"/>
      <c r="Y10">
        <f t="shared" ref="Y10:Y39" si="19">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1",B10="ma"),Arbejdstidsoversigt!$E$44,"")</f>
        <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9" si="20">SUM(AA10:AZ10)</f>
        <v>0</v>
      </c>
      <c r="BB10" s="233">
        <f t="shared" si="8"/>
        <v>0</v>
      </c>
      <c r="BC10" s="1">
        <f t="shared" ref="BC10:BC39" si="21">IF(C10="Lejrskole",L10,0)</f>
        <v>0</v>
      </c>
      <c r="BD10" s="1">
        <f t="shared" si="9"/>
        <v>0</v>
      </c>
      <c r="BE10" s="1">
        <f t="shared" si="10"/>
        <v>0</v>
      </c>
      <c r="BF10" s="1">
        <f t="shared" si="11"/>
        <v>0</v>
      </c>
      <c r="BG10" s="214" t="str">
        <f>IF(AND(C10="Skema 1",B10="ma"),Skemaoplysninger!$E$30,"")</f>
        <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9" si="22">SUM(BG10:BZ10)*24+SUM(BC10:BF10)</f>
        <v>0</v>
      </c>
      <c r="CB10" s="1">
        <f t="shared" si="12"/>
        <v>0</v>
      </c>
      <c r="CC10" s="1">
        <f t="shared" si="13"/>
        <v>0</v>
      </c>
      <c r="CD10" s="214" t="str">
        <f>IF(AND(C10="Skema 1",B10="ma"),Skemaoplysninger!$E$39,"")</f>
        <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9" si="23">SUM(CY10:DF10)</f>
        <v>0</v>
      </c>
      <c r="DH10" t="str">
        <f t="shared" ref="DH10:DH39" si="24">IF(AND(E10&gt;0,H10&gt;0),""&amp;E10&amp;" og "&amp;H10&amp;"","")</f>
        <v/>
      </c>
      <c r="DI10">
        <f t="shared" ref="DI10:DI39" si="25">IF(H10="",E10,"")</f>
        <v>0</v>
      </c>
      <c r="DJ10">
        <f t="shared" ref="DJ10:DJ39" si="26">IF(E10="",H10,"")</f>
        <v>0</v>
      </c>
      <c r="DK10" t="str">
        <f t="shared" si="14"/>
        <v/>
      </c>
      <c r="DL10" t="str">
        <f t="shared" si="14"/>
        <v/>
      </c>
      <c r="DM10" t="str">
        <f t="shared" si="14"/>
        <v/>
      </c>
      <c r="DN10" t="str">
        <f t="shared" ref="DN10:DN39" si="27">DK10&amp;""&amp;DL10&amp;""&amp;DM10</f>
        <v/>
      </c>
    </row>
    <row r="11" spans="1:118">
      <c r="A11" s="249">
        <f t="shared" si="15"/>
        <v>3</v>
      </c>
      <c r="B11" s="132" t="str">
        <f t="shared" si="0"/>
        <v>sø</v>
      </c>
      <c r="C11" s="133" t="s">
        <v>121</v>
      </c>
      <c r="D11" s="134" t="str">
        <f t="shared" si="1"/>
        <v/>
      </c>
      <c r="E11" s="871"/>
      <c r="F11" s="872"/>
      <c r="G11" s="873"/>
      <c r="H11" s="313"/>
      <c r="I11" s="440"/>
      <c r="J11" s="440"/>
      <c r="K11" s="405"/>
      <c r="L11" s="405"/>
      <c r="M11" s="405"/>
      <c r="N11" s="334">
        <f t="shared" si="16"/>
        <v>0</v>
      </c>
      <c r="O11" s="334">
        <f t="shared" si="17"/>
        <v>0</v>
      </c>
      <c r="P11" s="334">
        <f>IF(Stamoplysninger!$H$29="JA",Marts!DG11,CX11)</f>
        <v>0</v>
      </c>
      <c r="Q11" s="334">
        <f t="shared" si="18"/>
        <v>0</v>
      </c>
      <c r="R11" s="335"/>
      <c r="S11" s="341"/>
      <c r="T11" s="342"/>
      <c r="U11" s="342"/>
      <c r="V11" s="336"/>
      <c r="W11" s="472"/>
      <c r="X11" s="337"/>
      <c r="Y11">
        <f t="shared" si="19"/>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8"/>
        <v>0</v>
      </c>
      <c r="BC11" s="1">
        <f t="shared" si="21"/>
        <v>0</v>
      </c>
      <c r="BD11" s="1">
        <f t="shared" si="9"/>
        <v>0</v>
      </c>
      <c r="BE11" s="1">
        <f t="shared" si="10"/>
        <v>0</v>
      </c>
      <c r="BF11" s="1">
        <f t="shared" si="11"/>
        <v>0</v>
      </c>
      <c r="BG11" s="214" t="str">
        <f>IF(AND(C11="Skema 1",B11="ma"),Skemaoplysninger!$E$30,"")</f>
        <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2"/>
        <v>0</v>
      </c>
      <c r="CC11" s="1">
        <f t="shared" si="13"/>
        <v>0</v>
      </c>
      <c r="CD11" s="214" t="str">
        <f>IF(AND(C11="Skema 1",B11="ma"),Skemaoplysninger!$E$39,"")</f>
        <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4"/>
        <v/>
      </c>
      <c r="DL11" t="str">
        <f t="shared" si="14"/>
        <v/>
      </c>
      <c r="DM11" t="str">
        <f t="shared" si="14"/>
        <v/>
      </c>
      <c r="DN11" t="str">
        <f t="shared" si="27"/>
        <v/>
      </c>
    </row>
    <row r="12" spans="1:118">
      <c r="A12" s="249">
        <f t="shared" si="15"/>
        <v>4</v>
      </c>
      <c r="B12" s="132" t="str">
        <f t="shared" si="0"/>
        <v>ma</v>
      </c>
      <c r="C12" s="133" t="s">
        <v>209</v>
      </c>
      <c r="D12" s="134">
        <f t="shared" si="1"/>
        <v>10</v>
      </c>
      <c r="E12" s="871"/>
      <c r="F12" s="872"/>
      <c r="G12" s="873"/>
      <c r="H12" s="313"/>
      <c r="I12" s="582"/>
      <c r="J12" s="440"/>
      <c r="K12" s="405"/>
      <c r="L12" s="405"/>
      <c r="M12" s="405"/>
      <c r="N12" s="334">
        <f t="shared" si="16"/>
        <v>0</v>
      </c>
      <c r="O12" s="334">
        <f t="shared" si="17"/>
        <v>0</v>
      </c>
      <c r="P12" s="334">
        <f>IF(Stamoplysninger!$H$29="JA",Marts!DG12,CX12)</f>
        <v>0</v>
      </c>
      <c r="Q12" s="334">
        <f t="shared" si="18"/>
        <v>0</v>
      </c>
      <c r="R12" s="335"/>
      <c r="S12" s="341"/>
      <c r="T12" s="342"/>
      <c r="U12" s="342"/>
      <c r="V12" s="336"/>
      <c r="W12" s="472"/>
      <c r="X12" s="337"/>
      <c r="Y12">
        <f t="shared" si="19"/>
        <v>0</v>
      </c>
      <c r="Z12">
        <f t="shared" si="2"/>
        <v>0</v>
      </c>
      <c r="AA12" s="1">
        <f t="shared" si="3"/>
        <v>0</v>
      </c>
      <c r="AB12" s="1">
        <f t="shared" si="4"/>
        <v>0</v>
      </c>
      <c r="AC12" s="1">
        <f t="shared" si="5"/>
        <v>0</v>
      </c>
      <c r="AD12" s="1">
        <f t="shared" si="6"/>
        <v>0</v>
      </c>
      <c r="AE12" s="1">
        <f t="shared" si="7"/>
        <v>0</v>
      </c>
      <c r="AF12" s="1">
        <f>IF(C12="Orlov",7.4*Stamoplysninger!$E$15,0)</f>
        <v>0</v>
      </c>
      <c r="AG12">
        <f>IF(AND(C12="Skema 1",B12="ma"),Arbejdstidsoversigt!$E$44,"")</f>
        <v>0</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8"/>
        <v>0</v>
      </c>
      <c r="BC12" s="1">
        <f t="shared" si="21"/>
        <v>0</v>
      </c>
      <c r="BD12" s="1">
        <f t="shared" si="9"/>
        <v>0</v>
      </c>
      <c r="BE12" s="1">
        <f t="shared" si="10"/>
        <v>0</v>
      </c>
      <c r="BF12" s="1">
        <f t="shared" si="11"/>
        <v>0</v>
      </c>
      <c r="BG12" s="214">
        <f>IF(AND(C12="Skema 1",B12="ma"),Skemaoplysninger!$E$30,"")</f>
        <v>0</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2"/>
        <v>0</v>
      </c>
      <c r="CC12" s="1">
        <f t="shared" si="13"/>
        <v>0</v>
      </c>
      <c r="CD12" s="214">
        <f>IF(AND(C12="Skema 1",B12="ma"),Skemaoplysninger!$E$39,"")</f>
        <v>0</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4"/>
        <v/>
      </c>
      <c r="DL12" t="str">
        <f t="shared" si="14"/>
        <v/>
      </c>
      <c r="DM12" t="str">
        <f t="shared" si="14"/>
        <v/>
      </c>
      <c r="DN12" t="str">
        <f t="shared" si="27"/>
        <v/>
      </c>
    </row>
    <row r="13" spans="1:118">
      <c r="A13" s="249">
        <f t="shared" si="15"/>
        <v>5</v>
      </c>
      <c r="B13" s="132" t="str">
        <f t="shared" si="0"/>
        <v>ti</v>
      </c>
      <c r="C13" s="133" t="s">
        <v>209</v>
      </c>
      <c r="D13" s="134" t="str">
        <f t="shared" si="1"/>
        <v/>
      </c>
      <c r="E13" s="871"/>
      <c r="F13" s="872"/>
      <c r="G13" s="873"/>
      <c r="H13" s="313"/>
      <c r="I13" s="582"/>
      <c r="J13" s="440"/>
      <c r="K13" s="405"/>
      <c r="L13" s="405"/>
      <c r="M13" s="405"/>
      <c r="N13" s="334">
        <f t="shared" si="16"/>
        <v>0</v>
      </c>
      <c r="O13" s="334">
        <f t="shared" si="17"/>
        <v>0</v>
      </c>
      <c r="P13" s="334">
        <f>IF(Stamoplysninger!$H$29="JA",Marts!DG13,CX13)</f>
        <v>0</v>
      </c>
      <c r="Q13" s="334">
        <f t="shared" si="18"/>
        <v>0</v>
      </c>
      <c r="R13" s="335"/>
      <c r="S13" s="341"/>
      <c r="T13" s="342"/>
      <c r="U13" s="342"/>
      <c r="V13" s="336"/>
      <c r="W13" s="472"/>
      <c r="X13" s="337"/>
      <c r="Y13">
        <f t="shared" si="19"/>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1",B13="ma"),Arbejdstidsoversigt!$E$44,"")</f>
        <v/>
      </c>
      <c r="AH13">
        <f>IF(AND(C13="Skema 1",B13="ti"),Arbejdstidsoversigt!$E$45,"")</f>
        <v>0</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0</v>
      </c>
      <c r="BB13" s="233">
        <f t="shared" si="8"/>
        <v>0</v>
      </c>
      <c r="BC13" s="1">
        <f t="shared" si="21"/>
        <v>0</v>
      </c>
      <c r="BD13" s="1">
        <f t="shared" si="9"/>
        <v>0</v>
      </c>
      <c r="BE13" s="1">
        <f t="shared" si="10"/>
        <v>0</v>
      </c>
      <c r="BF13" s="1">
        <f t="shared" si="11"/>
        <v>0</v>
      </c>
      <c r="BG13" s="214" t="str">
        <f>IF(AND(C13="Skema 1",B13="ma"),Skemaoplysninger!$E$30,"")</f>
        <v/>
      </c>
      <c r="BH13" s="214">
        <f>IF(AND(C13="Skema 1",B13="ti"),Skemaoplysninger!$F$30,"")</f>
        <v>0</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2"/>
        <v>0</v>
      </c>
      <c r="CC13" s="1">
        <f t="shared" si="13"/>
        <v>0</v>
      </c>
      <c r="CD13" s="214" t="str">
        <f>IF(AND(C13="Skema 1",B13="ma"),Skemaoplysninger!$E$39,"")</f>
        <v/>
      </c>
      <c r="CE13" s="214">
        <f>IF(AND(C13="Skema 1",B13="ti"),Skemaoplysninger!$F$39,"")</f>
        <v>0</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4"/>
        <v/>
      </c>
      <c r="DL13" t="str">
        <f t="shared" si="14"/>
        <v/>
      </c>
      <c r="DM13" t="str">
        <f t="shared" si="14"/>
        <v/>
      </c>
      <c r="DN13" t="str">
        <f t="shared" si="27"/>
        <v/>
      </c>
    </row>
    <row r="14" spans="1:118" ht="16" customHeight="1">
      <c r="A14" s="249">
        <f t="shared" si="15"/>
        <v>6</v>
      </c>
      <c r="B14" s="132" t="str">
        <f t="shared" si="0"/>
        <v>on</v>
      </c>
      <c r="C14" s="133" t="s">
        <v>209</v>
      </c>
      <c r="D14" s="134" t="str">
        <f t="shared" si="1"/>
        <v/>
      </c>
      <c r="E14" s="871"/>
      <c r="F14" s="872"/>
      <c r="G14" s="873"/>
      <c r="H14" s="313"/>
      <c r="I14" s="582"/>
      <c r="J14" s="440"/>
      <c r="K14" s="405"/>
      <c r="L14" s="405"/>
      <c r="M14" s="405"/>
      <c r="N14" s="334">
        <f t="shared" si="16"/>
        <v>0</v>
      </c>
      <c r="O14" s="334">
        <f t="shared" si="17"/>
        <v>0</v>
      </c>
      <c r="P14" s="334">
        <f>IF(Stamoplysninger!$H$29="JA",Marts!DG14,CX14)</f>
        <v>0</v>
      </c>
      <c r="Q14" s="334">
        <f t="shared" si="18"/>
        <v>0</v>
      </c>
      <c r="R14" s="335"/>
      <c r="S14" s="341"/>
      <c r="T14" s="342"/>
      <c r="U14" s="342"/>
      <c r="V14" s="336"/>
      <c r="W14" s="472"/>
      <c r="X14" s="337"/>
      <c r="Y14">
        <f t="shared" si="19"/>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1",B14="ma"),Arbejdstidsoversigt!$E$44,"")</f>
        <v/>
      </c>
      <c r="AH14" t="str">
        <f>IF(AND(C14="Skema 1",B14="ti"),Arbejdstidsoversigt!$E$45,"")</f>
        <v/>
      </c>
      <c r="AI14">
        <f>IF(AND(C14="Skema 1",B14="on"),Arbejdstidsoversigt!$E$46,"")</f>
        <v>0</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0</v>
      </c>
      <c r="BB14" s="233">
        <f t="shared" si="8"/>
        <v>0</v>
      </c>
      <c r="BC14" s="1">
        <f t="shared" si="21"/>
        <v>0</v>
      </c>
      <c r="BD14" s="1">
        <f t="shared" si="9"/>
        <v>0</v>
      </c>
      <c r="BE14" s="1">
        <f t="shared" si="10"/>
        <v>0</v>
      </c>
      <c r="BF14" s="1">
        <f t="shared" si="11"/>
        <v>0</v>
      </c>
      <c r="BG14" s="214" t="str">
        <f>IF(AND(C14="Skema 1",B14="ma"),Skemaoplysninger!$E$30,"")</f>
        <v/>
      </c>
      <c r="BH14" s="214" t="str">
        <f>IF(AND(C14="Skema 1",B14="ti"),Skemaoplysninger!$F$30,"")</f>
        <v/>
      </c>
      <c r="BI14" s="214">
        <f>IF(AND(C14="Skema 1",B14="on"),Skemaoplysninger!$G$30,"")</f>
        <v>0</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2"/>
        <v>0</v>
      </c>
      <c r="CC14" s="1">
        <f t="shared" si="13"/>
        <v>0</v>
      </c>
      <c r="CD14" s="214" t="str">
        <f>IF(AND(C14="Skema 1",B14="ma"),Skemaoplysninger!$E$39,"")</f>
        <v/>
      </c>
      <c r="CE14" s="214" t="str">
        <f>IF(AND(C14="Skema 1",B14="ti"),Skemaoplysninger!$F$39,"")</f>
        <v/>
      </c>
      <c r="CF14" s="214">
        <f>IF(AND(C14="Skema 1",B14="on"),Skemaoplysninger!$G$39,"")</f>
        <v>0</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4"/>
        <v/>
      </c>
      <c r="DL14" t="str">
        <f t="shared" si="14"/>
        <v/>
      </c>
      <c r="DM14" t="str">
        <f t="shared" si="14"/>
        <v/>
      </c>
      <c r="DN14" t="str">
        <f t="shared" si="27"/>
        <v/>
      </c>
    </row>
    <row r="15" spans="1:118" ht="16" customHeight="1">
      <c r="A15" s="249">
        <f t="shared" si="15"/>
        <v>7</v>
      </c>
      <c r="B15" s="132" t="str">
        <f t="shared" si="0"/>
        <v>to</v>
      </c>
      <c r="C15" s="133" t="s">
        <v>209</v>
      </c>
      <c r="D15" s="134" t="str">
        <f t="shared" si="1"/>
        <v/>
      </c>
      <c r="E15" s="871"/>
      <c r="F15" s="872"/>
      <c r="G15" s="873"/>
      <c r="H15" s="313"/>
      <c r="I15" s="582"/>
      <c r="J15" s="440"/>
      <c r="K15" s="405"/>
      <c r="L15" s="405"/>
      <c r="M15" s="405"/>
      <c r="N15" s="334">
        <f t="shared" si="16"/>
        <v>0</v>
      </c>
      <c r="O15" s="334">
        <f t="shared" si="17"/>
        <v>0</v>
      </c>
      <c r="P15" s="334">
        <f>IF(Stamoplysninger!$H$29="JA",Marts!DG15,CX15)</f>
        <v>0</v>
      </c>
      <c r="Q15" s="334">
        <f t="shared" si="18"/>
        <v>0</v>
      </c>
      <c r="R15" s="335"/>
      <c r="S15" s="341"/>
      <c r="T15" s="342"/>
      <c r="U15" s="342"/>
      <c r="V15" s="336"/>
      <c r="W15" s="472"/>
      <c r="X15" s="337"/>
      <c r="Y15">
        <f t="shared" si="19"/>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1",B15="ma"),Arbejdstidsoversigt!$E$44,"")</f>
        <v/>
      </c>
      <c r="AH15" t="str">
        <f>IF(AND(C15="Skema 1",B15="ti"),Arbejdstidsoversigt!$E$45,"")</f>
        <v/>
      </c>
      <c r="AI15" t="str">
        <f>IF(AND(C15="Skema 1",B15="on"),Arbejdstidsoversigt!$E$46,"")</f>
        <v/>
      </c>
      <c r="AJ15">
        <f>IF(AND(C15="Skema 1",B15="to"),Arbejdstidsoversigt!$E$47,"")</f>
        <v>0</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8"/>
        <v>0</v>
      </c>
      <c r="BC15" s="1">
        <f t="shared" si="21"/>
        <v>0</v>
      </c>
      <c r="BD15" s="1">
        <f t="shared" si="9"/>
        <v>0</v>
      </c>
      <c r="BE15" s="1">
        <f t="shared" si="10"/>
        <v>0</v>
      </c>
      <c r="BF15" s="1">
        <f t="shared" si="11"/>
        <v>0</v>
      </c>
      <c r="BG15" s="214" t="str">
        <f>IF(AND(C15="Skema 1",B15="ma"),Skemaoplysninger!$E$30,"")</f>
        <v/>
      </c>
      <c r="BH15" s="214" t="str">
        <f>IF(AND(C15="Skema 1",B15="ti"),Skemaoplysninger!$F$30,"")</f>
        <v/>
      </c>
      <c r="BI15" s="214" t="str">
        <f>IF(AND(C15="Skema 1",B15="on"),Skemaoplysninger!$G$30,"")</f>
        <v/>
      </c>
      <c r="BJ15" s="214">
        <f>IF(AND(C15="Skema 1",B15="to"),Skemaoplysninger!$H$30,"")</f>
        <v>0</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2"/>
        <v>0</v>
      </c>
      <c r="CC15" s="1">
        <f t="shared" si="13"/>
        <v>0</v>
      </c>
      <c r="CD15" s="214" t="str">
        <f>IF(AND(C15="Skema 1",B15="ma"),Skemaoplysninger!$E$39,"")</f>
        <v/>
      </c>
      <c r="CE15" s="214" t="str">
        <f>IF(AND(C15="Skema 1",B15="ti"),Skemaoplysninger!$F$39,"")</f>
        <v/>
      </c>
      <c r="CF15" s="214" t="str">
        <f>IF(AND(C15="Skema 1",B15="on"),Skemaoplysninger!$G$39,"")</f>
        <v/>
      </c>
      <c r="CG15" s="214">
        <f>IF(AND(C15="Skema 1",B15="to"),Skemaoplysninger!$H$39,"")</f>
        <v>0</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4"/>
        <v/>
      </c>
      <c r="DL15" t="str">
        <f t="shared" si="14"/>
        <v/>
      </c>
      <c r="DM15" t="str">
        <f t="shared" si="14"/>
        <v/>
      </c>
      <c r="DN15" t="str">
        <f t="shared" si="27"/>
        <v/>
      </c>
    </row>
    <row r="16" spans="1:118">
      <c r="A16" s="249">
        <f t="shared" si="15"/>
        <v>8</v>
      </c>
      <c r="B16" s="132" t="str">
        <f t="shared" si="0"/>
        <v>fr</v>
      </c>
      <c r="C16" s="133" t="s">
        <v>209</v>
      </c>
      <c r="D16" s="134" t="str">
        <f t="shared" si="1"/>
        <v/>
      </c>
      <c r="E16" s="871"/>
      <c r="F16" s="872"/>
      <c r="G16" s="873"/>
      <c r="H16" s="313"/>
      <c r="I16" s="582"/>
      <c r="J16" s="440"/>
      <c r="K16" s="405"/>
      <c r="L16" s="405"/>
      <c r="M16" s="405"/>
      <c r="N16" s="334">
        <f t="shared" si="16"/>
        <v>0</v>
      </c>
      <c r="O16" s="334">
        <f t="shared" si="17"/>
        <v>0</v>
      </c>
      <c r="P16" s="334">
        <f>IF(Stamoplysninger!$H$29="JA",Marts!DG16,CX16)</f>
        <v>0</v>
      </c>
      <c r="Q16" s="334">
        <f t="shared" si="18"/>
        <v>0</v>
      </c>
      <c r="R16" s="335"/>
      <c r="S16" s="341"/>
      <c r="T16" s="342"/>
      <c r="U16" s="342"/>
      <c r="V16" s="336"/>
      <c r="W16" s="472"/>
      <c r="X16" s="337"/>
      <c r="Y16">
        <f t="shared" si="19"/>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1",B16="ma"),Arbejdstidsoversigt!$E$44,"")</f>
        <v/>
      </c>
      <c r="AH16" t="str">
        <f>IF(AND(C16="Skema 1",B16="ti"),Arbejdstidsoversigt!$E$45,"")</f>
        <v/>
      </c>
      <c r="AI16" t="str">
        <f>IF(AND(C16="Skema 1",B16="on"),Arbejdstidsoversigt!$E$46,"")</f>
        <v/>
      </c>
      <c r="AJ16" t="str">
        <f>IF(AND(C16="Skema 1",B16="to"),Arbejdstidsoversigt!$E$47,"")</f>
        <v/>
      </c>
      <c r="AK16">
        <f>IF(AND(C16="Skema 1",B16="fr"),Arbejdstidsoversigt!$E$48,"")</f>
        <v>0</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0</v>
      </c>
      <c r="BB16" s="233">
        <f t="shared" si="8"/>
        <v>0</v>
      </c>
      <c r="BC16" s="1">
        <f t="shared" si="21"/>
        <v>0</v>
      </c>
      <c r="BD16" s="1">
        <f t="shared" si="9"/>
        <v>0</v>
      </c>
      <c r="BE16" s="1">
        <f t="shared" si="10"/>
        <v>0</v>
      </c>
      <c r="BF16" s="1">
        <f t="shared" si="11"/>
        <v>0</v>
      </c>
      <c r="BG16" s="214" t="str">
        <f>IF(AND(C16="Skema 1",B16="ma"),Skemaoplysninger!$E$30,"")</f>
        <v/>
      </c>
      <c r="BH16" s="214" t="str">
        <f>IF(AND(C16="Skema 1",B16="ti"),Skemaoplysninger!$F$30,"")</f>
        <v/>
      </c>
      <c r="BI16" s="214" t="str">
        <f>IF(AND(C16="Skema 1",B16="on"),Skemaoplysninger!$G$30,"")</f>
        <v/>
      </c>
      <c r="BJ16" s="214" t="str">
        <f>IF(AND(C16="Skema 1",B16="to"),Skemaoplysninger!$H$30,"")</f>
        <v/>
      </c>
      <c r="BK16" s="214">
        <f>IF(AND(C16="Skema 1",B16="fr"),Skemaoplysninger!$I$30,"")</f>
        <v>0</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2"/>
        <v>0</v>
      </c>
      <c r="CC16" s="1">
        <f t="shared" si="13"/>
        <v>0</v>
      </c>
      <c r="CD16" s="214" t="str">
        <f>IF(AND(C16="Skema 1",B16="ma"),Skemaoplysninger!$E$39,"")</f>
        <v/>
      </c>
      <c r="CE16" s="214" t="str">
        <f>IF(AND(C16="Skema 1",B16="ti"),Skemaoplysninger!$F$39,"")</f>
        <v/>
      </c>
      <c r="CF16" s="214" t="str">
        <f>IF(AND(C16="Skema 1",B16="on"),Skemaoplysninger!$G$39,"")</f>
        <v/>
      </c>
      <c r="CG16" s="214" t="str">
        <f>IF(AND(C16="Skema 1",B16="to"),Skemaoplysninger!$H$39,"")</f>
        <v/>
      </c>
      <c r="CH16" s="214">
        <f>IF(AND(C16="Skema 1",B16="fr"),Skemaoplysninger!$I$39,"")</f>
        <v>0</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4"/>
        <v/>
      </c>
      <c r="DL16" t="str">
        <f t="shared" si="14"/>
        <v/>
      </c>
      <c r="DM16" t="str">
        <f t="shared" si="14"/>
        <v/>
      </c>
      <c r="DN16" t="str">
        <f t="shared" si="27"/>
        <v/>
      </c>
    </row>
    <row r="17" spans="1:118">
      <c r="A17" s="249">
        <f t="shared" si="15"/>
        <v>9</v>
      </c>
      <c r="B17" s="132" t="str">
        <f t="shared" si="0"/>
        <v>lø</v>
      </c>
      <c r="C17" s="133" t="s">
        <v>121</v>
      </c>
      <c r="D17" s="134" t="str">
        <f t="shared" si="1"/>
        <v/>
      </c>
      <c r="E17" s="871"/>
      <c r="F17" s="872"/>
      <c r="G17" s="873"/>
      <c r="H17" s="313"/>
      <c r="I17" s="440"/>
      <c r="J17" s="440"/>
      <c r="K17" s="405"/>
      <c r="L17" s="405"/>
      <c r="M17" s="405"/>
      <c r="N17" s="334">
        <f t="shared" si="16"/>
        <v>0</v>
      </c>
      <c r="O17" s="334">
        <f t="shared" si="17"/>
        <v>0</v>
      </c>
      <c r="P17" s="334">
        <f>IF(Stamoplysninger!$H$29="JA",Marts!DG17,CX17)</f>
        <v>0</v>
      </c>
      <c r="Q17" s="334">
        <f t="shared" si="18"/>
        <v>0</v>
      </c>
      <c r="R17" s="335"/>
      <c r="S17" s="341"/>
      <c r="T17" s="342"/>
      <c r="U17" s="342"/>
      <c r="V17" s="336"/>
      <c r="W17" s="472"/>
      <c r="X17" s="337"/>
      <c r="Y17">
        <f t="shared" si="19"/>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1",B17="ma"),Arbejdstidsoversigt!$E$44,"")</f>
        <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8"/>
        <v>0</v>
      </c>
      <c r="BC17" s="1">
        <f t="shared" si="21"/>
        <v>0</v>
      </c>
      <c r="BD17" s="1">
        <f t="shared" si="9"/>
        <v>0</v>
      </c>
      <c r="BE17" s="1">
        <f t="shared" si="10"/>
        <v>0</v>
      </c>
      <c r="BF17" s="1">
        <f t="shared" si="11"/>
        <v>0</v>
      </c>
      <c r="BG17" s="214" t="str">
        <f>IF(AND(C17="Skema 1",B17="ma"),Skemaoplysninger!$E$30,"")</f>
        <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2"/>
        <v>0</v>
      </c>
      <c r="CC17" s="1">
        <f t="shared" si="13"/>
        <v>0</v>
      </c>
      <c r="CD17" s="214" t="str">
        <f>IF(AND(C17="Skema 1",B17="ma"),Skemaoplysninger!$E$39,"")</f>
        <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4"/>
        <v/>
      </c>
      <c r="DL17" t="str">
        <f t="shared" si="14"/>
        <v/>
      </c>
      <c r="DM17" t="str">
        <f t="shared" si="14"/>
        <v/>
      </c>
      <c r="DN17" t="str">
        <f t="shared" si="27"/>
        <v/>
      </c>
    </row>
    <row r="18" spans="1:118">
      <c r="A18" s="249">
        <f t="shared" si="15"/>
        <v>10</v>
      </c>
      <c r="B18" s="132" t="str">
        <f t="shared" si="0"/>
        <v>sø</v>
      </c>
      <c r="C18" s="133" t="s">
        <v>121</v>
      </c>
      <c r="D18" s="134" t="str">
        <f t="shared" si="1"/>
        <v/>
      </c>
      <c r="E18" s="871"/>
      <c r="F18" s="872"/>
      <c r="G18" s="873"/>
      <c r="H18" s="313"/>
      <c r="I18" s="440"/>
      <c r="J18" s="440"/>
      <c r="K18" s="405"/>
      <c r="L18" s="405"/>
      <c r="M18" s="405"/>
      <c r="N18" s="334">
        <f t="shared" si="16"/>
        <v>0</v>
      </c>
      <c r="O18" s="334">
        <f t="shared" si="17"/>
        <v>0</v>
      </c>
      <c r="P18" s="334">
        <f>IF(Stamoplysninger!$H$29="JA",Marts!DG18,CX18)</f>
        <v>0</v>
      </c>
      <c r="Q18" s="334">
        <f t="shared" si="18"/>
        <v>0</v>
      </c>
      <c r="R18" s="335"/>
      <c r="S18" s="341"/>
      <c r="T18" s="342"/>
      <c r="U18" s="342"/>
      <c r="V18" s="336"/>
      <c r="W18" s="472"/>
      <c r="X18" s="337"/>
      <c r="Y18">
        <f t="shared" si="19"/>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1",B18="ma"),Arbejdstidsoversigt!$E$44,"")</f>
        <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8"/>
        <v>0</v>
      </c>
      <c r="BC18" s="1">
        <f t="shared" si="21"/>
        <v>0</v>
      </c>
      <c r="BD18" s="1">
        <f t="shared" si="9"/>
        <v>0</v>
      </c>
      <c r="BE18" s="1">
        <f t="shared" si="10"/>
        <v>0</v>
      </c>
      <c r="BF18" s="1">
        <f t="shared" si="11"/>
        <v>0</v>
      </c>
      <c r="BG18" s="214" t="str">
        <f>IF(AND(C18="Skema 1",B18="ma"),Skemaoplysninger!$E$30,"")</f>
        <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2"/>
        <v>0</v>
      </c>
      <c r="CC18" s="1">
        <f t="shared" si="13"/>
        <v>0</v>
      </c>
      <c r="CD18" s="214" t="str">
        <f>IF(AND(C18="Skema 1",B18="ma"),Skemaoplysninger!$E$39,"")</f>
        <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4"/>
        <v/>
      </c>
      <c r="DL18" t="str">
        <f t="shared" si="14"/>
        <v/>
      </c>
      <c r="DM18" t="str">
        <f t="shared" si="14"/>
        <v/>
      </c>
      <c r="DN18" t="str">
        <f t="shared" si="27"/>
        <v/>
      </c>
    </row>
    <row r="19" spans="1:118">
      <c r="A19" s="249">
        <f t="shared" si="15"/>
        <v>11</v>
      </c>
      <c r="B19" s="132" t="str">
        <f t="shared" si="0"/>
        <v>ma</v>
      </c>
      <c r="C19" s="133" t="s">
        <v>209</v>
      </c>
      <c r="D19" s="134">
        <f t="shared" si="1"/>
        <v>11</v>
      </c>
      <c r="E19" s="871"/>
      <c r="F19" s="872"/>
      <c r="G19" s="873"/>
      <c r="H19" s="313"/>
      <c r="I19" s="582"/>
      <c r="J19" s="440"/>
      <c r="K19" s="405"/>
      <c r="L19" s="405"/>
      <c r="M19" s="405"/>
      <c r="N19" s="334">
        <f t="shared" si="16"/>
        <v>0</v>
      </c>
      <c r="O19" s="334">
        <f t="shared" si="17"/>
        <v>0</v>
      </c>
      <c r="P19" s="334">
        <f>IF(Stamoplysninger!$H$29="JA",Marts!DG19,CX19)</f>
        <v>0</v>
      </c>
      <c r="Q19" s="334">
        <f t="shared" si="18"/>
        <v>0</v>
      </c>
      <c r="R19" s="335"/>
      <c r="S19" s="341"/>
      <c r="T19" s="342"/>
      <c r="U19" s="342"/>
      <c r="V19" s="336"/>
      <c r="W19" s="472"/>
      <c r="X19" s="337"/>
      <c r="Y19">
        <f t="shared" si="19"/>
        <v>0</v>
      </c>
      <c r="Z19">
        <f t="shared" si="2"/>
        <v>0</v>
      </c>
      <c r="AA19" s="1">
        <f t="shared" si="3"/>
        <v>0</v>
      </c>
      <c r="AB19" s="1">
        <f t="shared" si="4"/>
        <v>0</v>
      </c>
      <c r="AC19" s="1">
        <f t="shared" si="5"/>
        <v>0</v>
      </c>
      <c r="AD19" s="1">
        <f t="shared" si="6"/>
        <v>0</v>
      </c>
      <c r="AE19" s="1">
        <f t="shared" si="7"/>
        <v>0</v>
      </c>
      <c r="AF19" s="1">
        <f>IF(C19="Orlov",7.4*Stamoplysninger!$E$15,0)</f>
        <v>0</v>
      </c>
      <c r="AG19">
        <f>IF(AND(C19="Skema 1",B19="ma"),Arbejdstidsoversigt!$E$44,"")</f>
        <v>0</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8"/>
        <v>0</v>
      </c>
      <c r="BC19" s="1">
        <f t="shared" si="21"/>
        <v>0</v>
      </c>
      <c r="BD19" s="1">
        <f t="shared" si="9"/>
        <v>0</v>
      </c>
      <c r="BE19" s="1">
        <f t="shared" si="10"/>
        <v>0</v>
      </c>
      <c r="BF19" s="1">
        <f t="shared" si="11"/>
        <v>0</v>
      </c>
      <c r="BG19" s="214">
        <f>IF(AND(C19="Skema 1",B19="ma"),Skemaoplysninger!$E$30,"")</f>
        <v>0</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2"/>
        <v>0</v>
      </c>
      <c r="CC19" s="1">
        <f t="shared" si="13"/>
        <v>0</v>
      </c>
      <c r="CD19" s="214">
        <f>IF(AND(C19="Skema 1",B19="ma"),Skemaoplysninger!$E$39,"")</f>
        <v>0</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4"/>
        <v/>
      </c>
      <c r="DL19" t="str">
        <f t="shared" si="14"/>
        <v/>
      </c>
      <c r="DM19" t="str">
        <f t="shared" si="14"/>
        <v/>
      </c>
      <c r="DN19" t="str">
        <f t="shared" si="27"/>
        <v/>
      </c>
    </row>
    <row r="20" spans="1:118">
      <c r="A20" s="249">
        <f>IF(ISNUMBER(A19),A19+1,1)</f>
        <v>12</v>
      </c>
      <c r="B20" s="132" t="str">
        <f t="shared" si="0"/>
        <v>ti</v>
      </c>
      <c r="C20" s="133" t="s">
        <v>209</v>
      </c>
      <c r="D20" s="134" t="str">
        <f t="shared" si="1"/>
        <v/>
      </c>
      <c r="E20" s="871"/>
      <c r="F20" s="872"/>
      <c r="G20" s="873"/>
      <c r="H20" s="313"/>
      <c r="I20" s="582"/>
      <c r="J20" s="440"/>
      <c r="K20" s="405"/>
      <c r="L20" s="405"/>
      <c r="M20" s="405"/>
      <c r="N20" s="334">
        <f t="shared" si="16"/>
        <v>0</v>
      </c>
      <c r="O20" s="334">
        <f t="shared" si="17"/>
        <v>0</v>
      </c>
      <c r="P20" s="334">
        <f>IF(Stamoplysninger!$H$29="JA",Marts!DG20,CX20)</f>
        <v>0</v>
      </c>
      <c r="Q20" s="334">
        <f t="shared" si="18"/>
        <v>0</v>
      </c>
      <c r="R20" s="335"/>
      <c r="S20" s="341"/>
      <c r="T20" s="342"/>
      <c r="U20" s="342"/>
      <c r="V20" s="336"/>
      <c r="W20" s="472"/>
      <c r="X20" s="337"/>
      <c r="Y20">
        <f t="shared" si="19"/>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1",B20="ma"),Arbejdstidsoversigt!$E$44,"")</f>
        <v/>
      </c>
      <c r="AH20">
        <f>IF(AND(C20="Skema 1",B20="ti"),Arbejdstidsoversigt!$E$45,"")</f>
        <v>0</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8"/>
        <v>0</v>
      </c>
      <c r="BC20" s="1">
        <f t="shared" si="21"/>
        <v>0</v>
      </c>
      <c r="BD20" s="1">
        <f t="shared" si="9"/>
        <v>0</v>
      </c>
      <c r="BE20" s="1">
        <f t="shared" si="10"/>
        <v>0</v>
      </c>
      <c r="BF20" s="1">
        <f t="shared" si="11"/>
        <v>0</v>
      </c>
      <c r="BG20" s="214" t="str">
        <f>IF(AND(C20="Skema 1",B20="ma"),Skemaoplysninger!$E$30,"")</f>
        <v/>
      </c>
      <c r="BH20" s="214">
        <f>IF(AND(C20="Skema 1",B20="ti"),Skemaoplysninger!$F$30,"")</f>
        <v>0</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2"/>
        <v>0</v>
      </c>
      <c r="CC20" s="1">
        <f t="shared" si="13"/>
        <v>0</v>
      </c>
      <c r="CD20" s="214" t="str">
        <f>IF(AND(C20="Skema 1",B20="ma"),Skemaoplysninger!$E$39,"")</f>
        <v/>
      </c>
      <c r="CE20" s="214">
        <f>IF(AND(C20="Skema 1",B20="ti"),Skemaoplysninger!$F$39,"")</f>
        <v>0</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f t="shared" si="25"/>
        <v>0</v>
      </c>
      <c r="DJ20">
        <f t="shared" si="26"/>
        <v>0</v>
      </c>
      <c r="DK20" t="str">
        <f t="shared" si="14"/>
        <v/>
      </c>
      <c r="DL20" t="str">
        <f t="shared" si="14"/>
        <v/>
      </c>
      <c r="DM20" t="str">
        <f t="shared" si="14"/>
        <v/>
      </c>
      <c r="DN20" t="str">
        <f t="shared" si="27"/>
        <v/>
      </c>
    </row>
    <row r="21" spans="1:118">
      <c r="A21" s="249">
        <f>IF(ISNUMBER(A20),A20+1,1)</f>
        <v>13</v>
      </c>
      <c r="B21" s="132" t="str">
        <f t="shared" si="0"/>
        <v>on</v>
      </c>
      <c r="C21" s="133" t="s">
        <v>209</v>
      </c>
      <c r="D21" s="134" t="str">
        <f t="shared" si="1"/>
        <v/>
      </c>
      <c r="E21" s="868"/>
      <c r="F21" s="869"/>
      <c r="G21" s="870"/>
      <c r="H21" s="312"/>
      <c r="I21" s="582"/>
      <c r="J21" s="440"/>
      <c r="K21" s="405"/>
      <c r="L21" s="405"/>
      <c r="M21" s="405"/>
      <c r="N21" s="334">
        <f t="shared" si="16"/>
        <v>0</v>
      </c>
      <c r="O21" s="334">
        <f t="shared" si="17"/>
        <v>0</v>
      </c>
      <c r="P21" s="334">
        <f>IF(Stamoplysninger!$H$29="JA",Marts!DG21,CX21)</f>
        <v>0</v>
      </c>
      <c r="Q21" s="334">
        <f t="shared" si="18"/>
        <v>0</v>
      </c>
      <c r="R21" s="335"/>
      <c r="S21" s="341"/>
      <c r="T21" s="342"/>
      <c r="U21" s="342"/>
      <c r="V21" s="336"/>
      <c r="W21" s="472"/>
      <c r="X21" s="337"/>
      <c r="Y21">
        <f t="shared" si="19"/>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1",B21="ma"),Arbejdstidsoversigt!$E$44,"")</f>
        <v/>
      </c>
      <c r="AH21" t="str">
        <f>IF(AND(C21="Skema 1",B21="ti"),Arbejdstidsoversigt!$E$45,"")</f>
        <v/>
      </c>
      <c r="AI21">
        <f>IF(AND(C21="Skema 1",B21="on"),Arbejdstidsoversigt!$E$46,"")</f>
        <v>0</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8"/>
        <v>0</v>
      </c>
      <c r="BC21" s="1">
        <f t="shared" si="21"/>
        <v>0</v>
      </c>
      <c r="BD21" s="1">
        <f t="shared" si="9"/>
        <v>0</v>
      </c>
      <c r="BE21" s="1">
        <f t="shared" si="10"/>
        <v>0</v>
      </c>
      <c r="BF21" s="1">
        <f t="shared" si="11"/>
        <v>0</v>
      </c>
      <c r="BG21" s="214" t="str">
        <f>IF(AND(C21="Skema 1",B21="ma"),Skemaoplysninger!$E$30,"")</f>
        <v/>
      </c>
      <c r="BH21" s="214" t="str">
        <f>IF(AND(C21="Skema 1",B21="ti"),Skemaoplysninger!$F$30,"")</f>
        <v/>
      </c>
      <c r="BI21" s="214">
        <f>IF(AND(C21="Skema 1",B21="on"),Skemaoplysninger!$G$30,"")</f>
        <v>0</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2"/>
        <v>0</v>
      </c>
      <c r="CC21" s="1">
        <f t="shared" si="13"/>
        <v>0</v>
      </c>
      <c r="CD21" s="214" t="str">
        <f>IF(AND(C21="Skema 1",B21="ma"),Skemaoplysninger!$E$39,"")</f>
        <v/>
      </c>
      <c r="CE21" s="214" t="str">
        <f>IF(AND(C21="Skema 1",B21="ti"),Skemaoplysninger!$F$39,"")</f>
        <v/>
      </c>
      <c r="CF21" s="214">
        <f>IF(AND(C21="Skema 1",B21="on"),Skemaoplysninger!$G$39,"")</f>
        <v>0</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4"/>
        <v/>
      </c>
      <c r="DL21" t="str">
        <f t="shared" si="14"/>
        <v/>
      </c>
      <c r="DM21" t="str">
        <f t="shared" si="14"/>
        <v/>
      </c>
      <c r="DN21" t="str">
        <f t="shared" si="27"/>
        <v/>
      </c>
    </row>
    <row r="22" spans="1:118">
      <c r="A22" s="249">
        <f t="shared" si="15"/>
        <v>14</v>
      </c>
      <c r="B22" s="132" t="str">
        <f t="shared" si="0"/>
        <v>to</v>
      </c>
      <c r="C22" s="133" t="s">
        <v>209</v>
      </c>
      <c r="D22" s="134" t="str">
        <f t="shared" si="1"/>
        <v/>
      </c>
      <c r="E22" s="868"/>
      <c r="F22" s="869"/>
      <c r="G22" s="870"/>
      <c r="H22" s="312"/>
      <c r="I22" s="582"/>
      <c r="J22" s="440"/>
      <c r="K22" s="405"/>
      <c r="L22" s="405"/>
      <c r="M22" s="405"/>
      <c r="N22" s="334">
        <f t="shared" si="16"/>
        <v>0</v>
      </c>
      <c r="O22" s="334">
        <f t="shared" si="17"/>
        <v>0</v>
      </c>
      <c r="P22" s="334">
        <f>IF(Stamoplysninger!$H$29="JA",Marts!DG22,CX22)</f>
        <v>0</v>
      </c>
      <c r="Q22" s="334">
        <f t="shared" si="18"/>
        <v>0</v>
      </c>
      <c r="R22" s="335"/>
      <c r="S22" s="341"/>
      <c r="T22" s="342"/>
      <c r="U22" s="342"/>
      <c r="V22" s="336"/>
      <c r="W22" s="472"/>
      <c r="X22" s="337"/>
      <c r="Y22">
        <f t="shared" si="19"/>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1",B22="ma"),Arbejdstidsoversigt!$E$44,"")</f>
        <v/>
      </c>
      <c r="AH22" t="str">
        <f>IF(AND(C22="Skema 1",B22="ti"),Arbejdstidsoversigt!$E$45,"")</f>
        <v/>
      </c>
      <c r="AI22" t="str">
        <f>IF(AND(C22="Skema 1",B22="on"),Arbejdstidsoversigt!$E$46,"")</f>
        <v/>
      </c>
      <c r="AJ22">
        <f>IF(AND(C22="Skema 1",B22="to"),Arbejdstidsoversigt!$E$47,"")</f>
        <v>0</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8"/>
        <v>0</v>
      </c>
      <c r="BC22" s="1">
        <f t="shared" si="21"/>
        <v>0</v>
      </c>
      <c r="BD22" s="1">
        <f t="shared" si="9"/>
        <v>0</v>
      </c>
      <c r="BE22" s="1">
        <f t="shared" si="10"/>
        <v>0</v>
      </c>
      <c r="BF22" s="1">
        <f t="shared" si="11"/>
        <v>0</v>
      </c>
      <c r="BG22" s="214" t="str">
        <f>IF(AND(C22="Skema 1",B22="ma"),Skemaoplysninger!$E$30,"")</f>
        <v/>
      </c>
      <c r="BH22" s="214" t="str">
        <f>IF(AND(C22="Skema 1",B22="ti"),Skemaoplysninger!$F$30,"")</f>
        <v/>
      </c>
      <c r="BI22" s="214" t="str">
        <f>IF(AND(C22="Skema 1",B22="on"),Skemaoplysninger!$G$30,"")</f>
        <v/>
      </c>
      <c r="BJ22" s="214">
        <f>IF(AND(C22="Skema 1",B22="to"),Skemaoplysninger!$H$30,"")</f>
        <v>0</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2"/>
        <v>0</v>
      </c>
      <c r="CC22" s="1">
        <f t="shared" si="13"/>
        <v>0</v>
      </c>
      <c r="CD22" s="214" t="str">
        <f>IF(AND(C22="Skema 1",B22="ma"),Skemaoplysninger!$E$39,"")</f>
        <v/>
      </c>
      <c r="CE22" s="214" t="str">
        <f>IF(AND(C22="Skema 1",B22="ti"),Skemaoplysninger!$F$39,"")</f>
        <v/>
      </c>
      <c r="CF22" s="214" t="str">
        <f>IF(AND(C22="Skema 1",B22="on"),Skemaoplysninger!$G$39,"")</f>
        <v/>
      </c>
      <c r="CG22" s="214">
        <f>IF(AND(C22="Skema 1",B22="to"),Skemaoplysninger!$H$39,"")</f>
        <v>0</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4"/>
        <v/>
      </c>
      <c r="DL22" t="str">
        <f t="shared" si="14"/>
        <v/>
      </c>
      <c r="DM22" t="str">
        <f t="shared" si="14"/>
        <v/>
      </c>
      <c r="DN22" t="str">
        <f t="shared" si="27"/>
        <v/>
      </c>
    </row>
    <row r="23" spans="1:118">
      <c r="A23" s="249">
        <f t="shared" si="15"/>
        <v>15</v>
      </c>
      <c r="B23" s="132" t="str">
        <f t="shared" si="0"/>
        <v>fr</v>
      </c>
      <c r="C23" s="133" t="s">
        <v>209</v>
      </c>
      <c r="D23" s="134" t="str">
        <f t="shared" si="1"/>
        <v/>
      </c>
      <c r="E23" s="868"/>
      <c r="F23" s="869"/>
      <c r="G23" s="870"/>
      <c r="H23" s="312"/>
      <c r="I23" s="582"/>
      <c r="J23" s="440"/>
      <c r="K23" s="405"/>
      <c r="L23" s="405"/>
      <c r="M23" s="405"/>
      <c r="N23" s="334">
        <f t="shared" si="16"/>
        <v>0</v>
      </c>
      <c r="O23" s="334">
        <f t="shared" si="17"/>
        <v>0</v>
      </c>
      <c r="P23" s="334">
        <f>IF(Stamoplysninger!$H$29="JA",Marts!DG23,CX23)</f>
        <v>0</v>
      </c>
      <c r="Q23" s="334">
        <f t="shared" si="18"/>
        <v>0</v>
      </c>
      <c r="R23" s="335"/>
      <c r="S23" s="341"/>
      <c r="T23" s="342"/>
      <c r="U23" s="342"/>
      <c r="V23" s="336"/>
      <c r="W23" s="472"/>
      <c r="X23" s="337"/>
      <c r="Y23">
        <f t="shared" si="19"/>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1",B23="ma"),Arbejdstidsoversigt!$E$44,"")</f>
        <v/>
      </c>
      <c r="AH23" t="str">
        <f>IF(AND(C23="Skema 1",B23="ti"),Arbejdstidsoversigt!$E$45,"")</f>
        <v/>
      </c>
      <c r="AI23" t="str">
        <f>IF(AND(C23="Skema 1",B23="on"),Arbejdstidsoversigt!$E$46,"")</f>
        <v/>
      </c>
      <c r="AJ23" t="str">
        <f>IF(AND(C23="Skema 1",B23="to"),Arbejdstidsoversigt!$E$47,"")</f>
        <v/>
      </c>
      <c r="AK23">
        <f>IF(AND(C23="Skema 1",B23="fr"),Arbejdstidsoversigt!$E$48,"")</f>
        <v>0</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8"/>
        <v>0</v>
      </c>
      <c r="BC23" s="1">
        <f t="shared" si="21"/>
        <v>0</v>
      </c>
      <c r="BD23" s="1">
        <f t="shared" si="9"/>
        <v>0</v>
      </c>
      <c r="BE23" s="1">
        <f t="shared" si="10"/>
        <v>0</v>
      </c>
      <c r="BF23" s="1">
        <f t="shared" si="11"/>
        <v>0</v>
      </c>
      <c r="BG23" s="214" t="str">
        <f>IF(AND(C23="Skema 1",B23="ma"),Skemaoplysninger!$E$30,"")</f>
        <v/>
      </c>
      <c r="BH23" s="214" t="str">
        <f>IF(AND(C23="Skema 1",B23="ti"),Skemaoplysninger!$F$30,"")</f>
        <v/>
      </c>
      <c r="BI23" s="214" t="str">
        <f>IF(AND(C23="Skema 1",B23="on"),Skemaoplysninger!$G$30,"")</f>
        <v/>
      </c>
      <c r="BJ23" s="214" t="str">
        <f>IF(AND(C23="Skema 1",B23="to"),Skemaoplysninger!$H$30,"")</f>
        <v/>
      </c>
      <c r="BK23" s="214">
        <f>IF(AND(C23="Skema 1",B23="fr"),Skemaoplysninger!$I$30,"")</f>
        <v>0</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2"/>
        <v>0</v>
      </c>
      <c r="CC23" s="1">
        <f t="shared" si="13"/>
        <v>0</v>
      </c>
      <c r="CD23" s="214" t="str">
        <f>IF(AND(C23="Skema 1",B23="ma"),Skemaoplysninger!$E$39,"")</f>
        <v/>
      </c>
      <c r="CE23" s="214" t="str">
        <f>IF(AND(C23="Skema 1",B23="ti"),Skemaoplysninger!$F$39,"")</f>
        <v/>
      </c>
      <c r="CF23" s="214" t="str">
        <f>IF(AND(C23="Skema 1",B23="on"),Skemaoplysninger!$G$39,"")</f>
        <v/>
      </c>
      <c r="CG23" s="214" t="str">
        <f>IF(AND(C23="Skema 1",B23="to"),Skemaoplysninger!$H$39,"")</f>
        <v/>
      </c>
      <c r="CH23" s="214">
        <f>IF(AND(C23="Skema 1",B23="fr"),Skemaoplysninger!$I$39,"")</f>
        <v>0</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4"/>
        <v/>
      </c>
      <c r="DL23" t="str">
        <f t="shared" si="14"/>
        <v/>
      </c>
      <c r="DM23" t="str">
        <f t="shared" si="14"/>
        <v/>
      </c>
      <c r="DN23" t="str">
        <f t="shared" si="27"/>
        <v/>
      </c>
    </row>
    <row r="24" spans="1:118">
      <c r="A24" s="249">
        <f>IF(ISNUMBER(A23),A23+1,1)</f>
        <v>16</v>
      </c>
      <c r="B24" s="132" t="str">
        <f t="shared" si="0"/>
        <v>lø</v>
      </c>
      <c r="C24" s="133" t="s">
        <v>121</v>
      </c>
      <c r="D24" s="134" t="str">
        <f t="shared" si="1"/>
        <v/>
      </c>
      <c r="E24" s="871"/>
      <c r="F24" s="872"/>
      <c r="G24" s="873"/>
      <c r="H24" s="313"/>
      <c r="I24" s="440"/>
      <c r="J24" s="440"/>
      <c r="K24" s="405"/>
      <c r="L24" s="405"/>
      <c r="M24" s="405"/>
      <c r="N24" s="334">
        <f t="shared" si="16"/>
        <v>0</v>
      </c>
      <c r="O24" s="334">
        <f t="shared" si="17"/>
        <v>0</v>
      </c>
      <c r="P24" s="334">
        <f>IF(Stamoplysninger!$H$29="JA",Marts!DG24,CX24)</f>
        <v>0</v>
      </c>
      <c r="Q24" s="334">
        <f t="shared" si="18"/>
        <v>0</v>
      </c>
      <c r="R24" s="335"/>
      <c r="S24" s="341"/>
      <c r="T24" s="342"/>
      <c r="U24" s="342"/>
      <c r="V24" s="336"/>
      <c r="W24" s="472"/>
      <c r="X24" s="337"/>
      <c r="Y24">
        <f t="shared" si="19"/>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1",B24="ma"),Arbejdstidsoversigt!$E$44,"")</f>
        <v/>
      </c>
      <c r="AH24" t="str">
        <f>IF(AND(C24="Skema 1",B24="ti"),Arbejdstidsoversigt!$E$45,"")</f>
        <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8"/>
        <v>0</v>
      </c>
      <c r="BC24" s="1">
        <f t="shared" si="21"/>
        <v>0</v>
      </c>
      <c r="BD24" s="1">
        <f t="shared" si="9"/>
        <v>0</v>
      </c>
      <c r="BE24" s="1">
        <f t="shared" si="10"/>
        <v>0</v>
      </c>
      <c r="BF24" s="1">
        <f t="shared" si="11"/>
        <v>0</v>
      </c>
      <c r="BG24" s="214" t="str">
        <f>IF(AND(C24="Skema 1",B24="ma"),Skemaoplysninger!$E$30,"")</f>
        <v/>
      </c>
      <c r="BH24" s="214" t="str">
        <f>IF(AND(C24="Skema 1",B24="ti"),Skemaoplysninger!$F$30,"")</f>
        <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2"/>
        <v>0</v>
      </c>
      <c r="CC24" s="1">
        <f t="shared" si="13"/>
        <v>0</v>
      </c>
      <c r="CD24" s="214" t="str">
        <f>IF(AND(C24="Skema 1",B24="ma"),Skemaoplysninger!$E$39,"")</f>
        <v/>
      </c>
      <c r="CE24" s="214" t="str">
        <f>IF(AND(C24="Skema 1",B24="ti"),Skemaoplysninger!$F$39,"")</f>
        <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f t="shared" si="25"/>
        <v>0</v>
      </c>
      <c r="DJ24">
        <f t="shared" si="26"/>
        <v>0</v>
      </c>
      <c r="DK24" t="str">
        <f t="shared" si="14"/>
        <v/>
      </c>
      <c r="DL24" t="str">
        <f t="shared" si="14"/>
        <v/>
      </c>
      <c r="DM24" t="str">
        <f t="shared" si="14"/>
        <v/>
      </c>
      <c r="DN24" t="str">
        <f t="shared" si="27"/>
        <v/>
      </c>
    </row>
    <row r="25" spans="1:118">
      <c r="A25" s="249">
        <f t="shared" si="15"/>
        <v>17</v>
      </c>
      <c r="B25" s="132" t="str">
        <f t="shared" si="0"/>
        <v>sø</v>
      </c>
      <c r="C25" s="133" t="s">
        <v>121</v>
      </c>
      <c r="D25" s="134" t="str">
        <f t="shared" si="1"/>
        <v/>
      </c>
      <c r="E25" s="871"/>
      <c r="F25" s="872"/>
      <c r="G25" s="873"/>
      <c r="H25" s="313"/>
      <c r="I25" s="440"/>
      <c r="J25" s="440"/>
      <c r="K25" s="405"/>
      <c r="L25" s="405"/>
      <c r="M25" s="405"/>
      <c r="N25" s="334">
        <f t="shared" si="16"/>
        <v>0</v>
      </c>
      <c r="O25" s="334">
        <f t="shared" si="17"/>
        <v>0</v>
      </c>
      <c r="P25" s="334">
        <f>IF(Stamoplysninger!$H$29="JA",Marts!DG25,CX25)</f>
        <v>0</v>
      </c>
      <c r="Q25" s="334">
        <f t="shared" si="18"/>
        <v>0</v>
      </c>
      <c r="R25" s="335"/>
      <c r="S25" s="341"/>
      <c r="T25" s="342"/>
      <c r="U25" s="342"/>
      <c r="V25" s="336"/>
      <c r="W25" s="472"/>
      <c r="X25" s="337"/>
      <c r="Y25">
        <f t="shared" si="19"/>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8"/>
        <v>0</v>
      </c>
      <c r="BC25" s="1">
        <f t="shared" si="21"/>
        <v>0</v>
      </c>
      <c r="BD25" s="1">
        <f t="shared" si="9"/>
        <v>0</v>
      </c>
      <c r="BE25" s="1">
        <f t="shared" si="10"/>
        <v>0</v>
      </c>
      <c r="BF25" s="1">
        <f t="shared" si="11"/>
        <v>0</v>
      </c>
      <c r="BG25" s="214" t="str">
        <f>IF(AND(C25="Skema 1",B25="ma"),Skemaoplysninger!$E$30,"")</f>
        <v/>
      </c>
      <c r="BH25" s="214" t="str">
        <f>IF(AND(C25="Skema 1",B25="ti"),Skemaoplysninger!$F$30,"")</f>
        <v/>
      </c>
      <c r="BI25" s="214" t="str">
        <f>IF(AND(C25="Skema 1",B25="on"),Skemaoplysninger!$G$30,"")</f>
        <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2"/>
        <v>0</v>
      </c>
      <c r="CC25" s="1">
        <f t="shared" si="13"/>
        <v>0</v>
      </c>
      <c r="CD25" s="214" t="str">
        <f>IF(AND(C25="Skema 1",B25="ma"),Skemaoplysninger!$E$39,"")</f>
        <v/>
      </c>
      <c r="CE25" s="214" t="str">
        <f>IF(AND(C25="Skema 1",B25="ti"),Skemaoplysninger!$F$39,"")</f>
        <v/>
      </c>
      <c r="CF25" s="214" t="str">
        <f>IF(AND(C25="Skema 1",B25="on"),Skemaoplysninger!$G$39,"")</f>
        <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4"/>
        <v/>
      </c>
      <c r="DL25" t="str">
        <f t="shared" si="14"/>
        <v/>
      </c>
      <c r="DM25" t="str">
        <f t="shared" si="14"/>
        <v/>
      </c>
      <c r="DN25" t="str">
        <f t="shared" si="27"/>
        <v/>
      </c>
    </row>
    <row r="26" spans="1:118">
      <c r="A26" s="249">
        <f t="shared" si="15"/>
        <v>18</v>
      </c>
      <c r="B26" s="132" t="str">
        <f t="shared" si="0"/>
        <v>ma</v>
      </c>
      <c r="C26" s="133" t="s">
        <v>209</v>
      </c>
      <c r="D26" s="134">
        <f t="shared" si="1"/>
        <v>12</v>
      </c>
      <c r="E26" s="871"/>
      <c r="F26" s="872"/>
      <c r="G26" s="873"/>
      <c r="H26" s="313"/>
      <c r="I26" s="582"/>
      <c r="J26" s="440"/>
      <c r="K26" s="405"/>
      <c r="L26" s="405"/>
      <c r="M26" s="405"/>
      <c r="N26" s="334">
        <f t="shared" si="16"/>
        <v>0</v>
      </c>
      <c r="O26" s="334">
        <f t="shared" si="17"/>
        <v>0</v>
      </c>
      <c r="P26" s="334">
        <f>IF(Stamoplysninger!$H$29="JA",Marts!DG26,CX26)</f>
        <v>0</v>
      </c>
      <c r="Q26" s="334">
        <f t="shared" si="18"/>
        <v>0</v>
      </c>
      <c r="R26" s="335"/>
      <c r="S26" s="341"/>
      <c r="T26" s="342"/>
      <c r="U26" s="342"/>
      <c r="V26" s="336"/>
      <c r="W26" s="472"/>
      <c r="X26" s="337"/>
      <c r="Y26">
        <f t="shared" si="19"/>
        <v>0</v>
      </c>
      <c r="Z26">
        <f t="shared" si="2"/>
        <v>0</v>
      </c>
      <c r="AA26" s="1">
        <f t="shared" si="3"/>
        <v>0</v>
      </c>
      <c r="AB26" s="1">
        <f t="shared" si="4"/>
        <v>0</v>
      </c>
      <c r="AC26" s="1">
        <f t="shared" si="5"/>
        <v>0</v>
      </c>
      <c r="AD26" s="1">
        <f t="shared" si="6"/>
        <v>0</v>
      </c>
      <c r="AE26" s="1">
        <f t="shared" si="7"/>
        <v>0</v>
      </c>
      <c r="AF26" s="1">
        <f>IF(C26="Orlov",7.4*Stamoplysninger!$E$15,0)</f>
        <v>0</v>
      </c>
      <c r="AG26">
        <f>IF(AND(C26="Skema 1",B26="ma"),Arbejdstidsoversigt!$E$44,"")</f>
        <v>0</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8"/>
        <v>0</v>
      </c>
      <c r="BC26" s="1">
        <f t="shared" si="21"/>
        <v>0</v>
      </c>
      <c r="BD26" s="1">
        <f t="shared" si="9"/>
        <v>0</v>
      </c>
      <c r="BE26" s="1">
        <f t="shared" si="10"/>
        <v>0</v>
      </c>
      <c r="BF26" s="1">
        <f t="shared" si="11"/>
        <v>0</v>
      </c>
      <c r="BG26" s="214">
        <f>IF(AND(C26="Skema 1",B26="ma"),Skemaoplysninger!$E$30,"")</f>
        <v>0</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2"/>
        <v>0</v>
      </c>
      <c r="CC26" s="1">
        <f t="shared" si="13"/>
        <v>0</v>
      </c>
      <c r="CD26" s="214">
        <f>IF(AND(C26="Skema 1",B26="ma"),Skemaoplysninger!$E$39,"")</f>
        <v>0</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4"/>
        <v/>
      </c>
      <c r="DL26" t="str">
        <f t="shared" si="14"/>
        <v/>
      </c>
      <c r="DM26" t="str">
        <f t="shared" si="14"/>
        <v/>
      </c>
      <c r="DN26" t="str">
        <f t="shared" si="27"/>
        <v/>
      </c>
    </row>
    <row r="27" spans="1:118">
      <c r="A27" s="249">
        <f t="shared" si="15"/>
        <v>19</v>
      </c>
      <c r="B27" s="132" t="str">
        <f t="shared" si="0"/>
        <v>ti</v>
      </c>
      <c r="C27" s="133" t="s">
        <v>209</v>
      </c>
      <c r="D27" s="134" t="str">
        <f t="shared" si="1"/>
        <v/>
      </c>
      <c r="E27" s="871"/>
      <c r="F27" s="872"/>
      <c r="G27" s="873"/>
      <c r="H27" s="313"/>
      <c r="I27" s="582"/>
      <c r="J27" s="440"/>
      <c r="K27" s="405"/>
      <c r="L27" s="405"/>
      <c r="M27" s="405"/>
      <c r="N27" s="334">
        <f t="shared" si="16"/>
        <v>0</v>
      </c>
      <c r="O27" s="334">
        <f t="shared" si="17"/>
        <v>0</v>
      </c>
      <c r="P27" s="334">
        <f>IF(Stamoplysninger!$H$29="JA",Marts!DG27,CX27)</f>
        <v>0</v>
      </c>
      <c r="Q27" s="334">
        <f t="shared" si="18"/>
        <v>0</v>
      </c>
      <c r="R27" s="335"/>
      <c r="S27" s="341"/>
      <c r="T27" s="342"/>
      <c r="U27" s="342"/>
      <c r="V27" s="336"/>
      <c r="W27" s="472"/>
      <c r="X27" s="337"/>
      <c r="Y27">
        <f t="shared" si="19"/>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1",B27="ma"),Arbejdstidsoversigt!$E$44,"")</f>
        <v/>
      </c>
      <c r="AH27">
        <f>IF(AND(C27="Skema 1",B27="ti"),Arbejdstidsoversigt!$E$45,"")</f>
        <v>0</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8"/>
        <v>0</v>
      </c>
      <c r="BC27" s="1">
        <f t="shared" si="21"/>
        <v>0</v>
      </c>
      <c r="BD27" s="1">
        <f t="shared" si="9"/>
        <v>0</v>
      </c>
      <c r="BE27" s="1">
        <f t="shared" si="10"/>
        <v>0</v>
      </c>
      <c r="BF27" s="1">
        <f t="shared" si="11"/>
        <v>0</v>
      </c>
      <c r="BG27" s="214" t="str">
        <f>IF(AND(C27="Skema 1",B27="ma"),Skemaoplysninger!$E$30,"")</f>
        <v/>
      </c>
      <c r="BH27" s="214">
        <f>IF(AND(C27="Skema 1",B27="ti"),Skemaoplysninger!$F$30,"")</f>
        <v>0</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2"/>
        <v>0</v>
      </c>
      <c r="CC27" s="1">
        <f t="shared" si="13"/>
        <v>0</v>
      </c>
      <c r="CD27" s="214" t="str">
        <f>IF(AND(C27="Skema 1",B27="ma"),Skemaoplysninger!$E$39,"")</f>
        <v/>
      </c>
      <c r="CE27" s="214">
        <f>IF(AND(C27="Skema 1",B27="ti"),Skemaoplysninger!$F$39,"")</f>
        <v>0</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f t="shared" si="25"/>
        <v>0</v>
      </c>
      <c r="DJ27">
        <f t="shared" si="26"/>
        <v>0</v>
      </c>
      <c r="DK27" t="str">
        <f t="shared" si="14"/>
        <v/>
      </c>
      <c r="DL27" t="str">
        <f t="shared" si="14"/>
        <v/>
      </c>
      <c r="DM27" t="str">
        <f t="shared" si="14"/>
        <v/>
      </c>
      <c r="DN27" t="str">
        <f t="shared" si="27"/>
        <v/>
      </c>
    </row>
    <row r="28" spans="1:118">
      <c r="A28" s="249">
        <f t="shared" si="15"/>
        <v>20</v>
      </c>
      <c r="B28" s="132" t="str">
        <f t="shared" si="0"/>
        <v>on</v>
      </c>
      <c r="C28" s="133" t="s">
        <v>209</v>
      </c>
      <c r="D28" s="134" t="str">
        <f t="shared" si="1"/>
        <v/>
      </c>
      <c r="E28" s="871"/>
      <c r="F28" s="872"/>
      <c r="G28" s="873"/>
      <c r="H28" s="313"/>
      <c r="I28" s="582"/>
      <c r="J28" s="440"/>
      <c r="K28" s="405"/>
      <c r="L28" s="405"/>
      <c r="M28" s="405"/>
      <c r="N28" s="334">
        <f t="shared" si="16"/>
        <v>0</v>
      </c>
      <c r="O28" s="334">
        <f t="shared" si="17"/>
        <v>0</v>
      </c>
      <c r="P28" s="334">
        <f>IF(Stamoplysninger!$H$29="JA",Marts!DG28,CX28)</f>
        <v>0</v>
      </c>
      <c r="Q28" s="334">
        <f t="shared" si="18"/>
        <v>0</v>
      </c>
      <c r="R28" s="335"/>
      <c r="S28" s="341"/>
      <c r="T28" s="342"/>
      <c r="U28" s="342"/>
      <c r="V28" s="336"/>
      <c r="W28" s="472"/>
      <c r="X28" s="337"/>
      <c r="Y28">
        <f t="shared" si="19"/>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1",B28="ma"),Arbejdstidsoversigt!$E$44,"")</f>
        <v/>
      </c>
      <c r="AH28" t="str">
        <f>IF(AND(C28="Skema 1",B28="ti"),Arbejdstidsoversigt!$E$45,"")</f>
        <v/>
      </c>
      <c r="AI28">
        <f>IF(AND(C28="Skema 1",B28="on"),Arbejdstidsoversigt!$E$46,"")</f>
        <v>0</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8"/>
        <v>0</v>
      </c>
      <c r="BC28" s="1">
        <f t="shared" si="21"/>
        <v>0</v>
      </c>
      <c r="BD28" s="1">
        <f t="shared" si="9"/>
        <v>0</v>
      </c>
      <c r="BE28" s="1">
        <f t="shared" si="10"/>
        <v>0</v>
      </c>
      <c r="BF28" s="1">
        <f t="shared" si="11"/>
        <v>0</v>
      </c>
      <c r="BG28" s="214" t="str">
        <f>IF(AND(C28="Skema 1",B28="ma"),Skemaoplysninger!$E$30,"")</f>
        <v/>
      </c>
      <c r="BH28" s="214" t="str">
        <f>IF(AND(C28="Skema 1",B28="ti"),Skemaoplysninger!$F$30,"")</f>
        <v/>
      </c>
      <c r="BI28" s="214">
        <f>IF(AND(C28="Skema 1",B28="on"),Skemaoplysninger!$G$30,"")</f>
        <v>0</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2"/>
        <v>0</v>
      </c>
      <c r="CC28" s="1">
        <f t="shared" si="13"/>
        <v>0</v>
      </c>
      <c r="CD28" s="214" t="str">
        <f>IF(AND(C28="Skema 1",B28="ma"),Skemaoplysninger!$E$39,"")</f>
        <v/>
      </c>
      <c r="CE28" s="214" t="str">
        <f>IF(AND(C28="Skema 1",B28="ti"),Skemaoplysninger!$F$39,"")</f>
        <v/>
      </c>
      <c r="CF28" s="214">
        <f>IF(AND(C28="Skema 1",B28="on"),Skemaoplysninger!$G$39,"")</f>
        <v>0</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4"/>
        <v/>
      </c>
      <c r="DL28" t="str">
        <f t="shared" si="14"/>
        <v/>
      </c>
      <c r="DM28" t="str">
        <f t="shared" si="14"/>
        <v/>
      </c>
      <c r="DN28" t="str">
        <f t="shared" si="27"/>
        <v/>
      </c>
    </row>
    <row r="29" spans="1:118">
      <c r="A29" s="249">
        <f t="shared" si="15"/>
        <v>21</v>
      </c>
      <c r="B29" s="132" t="str">
        <f t="shared" si="0"/>
        <v>to</v>
      </c>
      <c r="C29" s="133" t="s">
        <v>209</v>
      </c>
      <c r="D29" s="134" t="str">
        <f t="shared" si="1"/>
        <v/>
      </c>
      <c r="E29" s="871"/>
      <c r="F29" s="872"/>
      <c r="G29" s="873"/>
      <c r="H29" s="313"/>
      <c r="I29" s="582"/>
      <c r="J29" s="440"/>
      <c r="K29" s="405"/>
      <c r="L29" s="405"/>
      <c r="M29" s="405"/>
      <c r="N29" s="334">
        <f t="shared" si="16"/>
        <v>0</v>
      </c>
      <c r="O29" s="334">
        <f t="shared" si="17"/>
        <v>0</v>
      </c>
      <c r="P29" s="334">
        <f>IF(Stamoplysninger!$H$29="JA",Marts!DG29,CX29)</f>
        <v>0</v>
      </c>
      <c r="Q29" s="334">
        <f t="shared" si="18"/>
        <v>0</v>
      </c>
      <c r="R29" s="335"/>
      <c r="S29" s="341"/>
      <c r="T29" s="342"/>
      <c r="U29" s="342"/>
      <c r="V29" s="336"/>
      <c r="W29" s="472"/>
      <c r="X29" s="337"/>
      <c r="Y29">
        <f t="shared" si="19"/>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1",B29="ma"),Arbejdstidsoversigt!$E$44,"")</f>
        <v/>
      </c>
      <c r="AH29" t="str">
        <f>IF(AND(C29="Skema 1",B29="ti"),Arbejdstidsoversigt!$E$45,"")</f>
        <v/>
      </c>
      <c r="AI29" t="str">
        <f>IF(AND(C29="Skema 1",B29="on"),Arbejdstidsoversigt!$E$46,"")</f>
        <v/>
      </c>
      <c r="AJ29">
        <f>IF(AND(C29="Skema 1",B29="to"),Arbejdstidsoversigt!$E$47,"")</f>
        <v>0</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8"/>
        <v>0</v>
      </c>
      <c r="BC29" s="1">
        <f t="shared" si="21"/>
        <v>0</v>
      </c>
      <c r="BD29" s="1">
        <f t="shared" si="9"/>
        <v>0</v>
      </c>
      <c r="BE29" s="1">
        <f t="shared" si="10"/>
        <v>0</v>
      </c>
      <c r="BF29" s="1">
        <f t="shared" si="11"/>
        <v>0</v>
      </c>
      <c r="BG29" s="214" t="str">
        <f>IF(AND(C29="Skema 1",B29="ma"),Skemaoplysninger!$E$30,"")</f>
        <v/>
      </c>
      <c r="BH29" s="214" t="str">
        <f>IF(AND(C29="Skema 1",B29="ti"),Skemaoplysninger!$F$30,"")</f>
        <v/>
      </c>
      <c r="BI29" s="214" t="str">
        <f>IF(AND(C29="Skema 1",B29="on"),Skemaoplysninger!$G$30,"")</f>
        <v/>
      </c>
      <c r="BJ29" s="214">
        <f>IF(AND(C29="Skema 1",B29="to"),Skemaoplysninger!$H$30,"")</f>
        <v>0</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2"/>
        <v>0</v>
      </c>
      <c r="CC29" s="1">
        <f t="shared" si="13"/>
        <v>0</v>
      </c>
      <c r="CD29" s="214" t="str">
        <f>IF(AND(C29="Skema 1",B29="ma"),Skemaoplysninger!$E$39,"")</f>
        <v/>
      </c>
      <c r="CE29" s="214" t="str">
        <f>IF(AND(C29="Skema 1",B29="ti"),Skemaoplysninger!$F$39,"")</f>
        <v/>
      </c>
      <c r="CF29" s="214" t="str">
        <f>IF(AND(C29="Skema 1",B29="on"),Skemaoplysninger!$G$39,"")</f>
        <v/>
      </c>
      <c r="CG29" s="214">
        <f>IF(AND(C29="Skema 1",B29="to"),Skemaoplysninger!$H$39,"")</f>
        <v>0</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4"/>
        <v/>
      </c>
      <c r="DL29" t="str">
        <f t="shared" si="14"/>
        <v/>
      </c>
      <c r="DM29" t="str">
        <f t="shared" si="14"/>
        <v/>
      </c>
      <c r="DN29" t="str">
        <f t="shared" si="27"/>
        <v/>
      </c>
    </row>
    <row r="30" spans="1:118">
      <c r="A30" s="249">
        <f t="shared" si="15"/>
        <v>22</v>
      </c>
      <c r="B30" s="132" t="str">
        <f t="shared" si="0"/>
        <v>fr</v>
      </c>
      <c r="C30" s="133" t="s">
        <v>209</v>
      </c>
      <c r="D30" s="134" t="str">
        <f t="shared" si="1"/>
        <v/>
      </c>
      <c r="E30" s="871"/>
      <c r="F30" s="872"/>
      <c r="G30" s="873"/>
      <c r="H30" s="313"/>
      <c r="I30" s="582"/>
      <c r="J30" s="440"/>
      <c r="K30" s="405"/>
      <c r="L30" s="405"/>
      <c r="M30" s="405"/>
      <c r="N30" s="334">
        <f t="shared" si="16"/>
        <v>0</v>
      </c>
      <c r="O30" s="334">
        <f t="shared" si="17"/>
        <v>0</v>
      </c>
      <c r="P30" s="334">
        <f>IF(Stamoplysninger!$H$29="JA",Marts!DG30,CX30)</f>
        <v>0</v>
      </c>
      <c r="Q30" s="334">
        <f t="shared" si="18"/>
        <v>0</v>
      </c>
      <c r="R30" s="335"/>
      <c r="S30" s="341"/>
      <c r="T30" s="342"/>
      <c r="U30" s="342"/>
      <c r="V30" s="336"/>
      <c r="W30" s="472"/>
      <c r="X30" s="337"/>
      <c r="Y30">
        <f t="shared" si="19"/>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1",B30="ma"),Arbejdstidsoversigt!$E$44,"")</f>
        <v/>
      </c>
      <c r="AH30" t="str">
        <f>IF(AND(C30="Skema 1",B30="ti"),Arbejdstidsoversigt!$E$45,"")</f>
        <v/>
      </c>
      <c r="AI30" t="str">
        <f>IF(AND(C30="Skema 1",B30="on"),Arbejdstidsoversigt!$E$46,"")</f>
        <v/>
      </c>
      <c r="AJ30" t="str">
        <f>IF(AND(C30="Skema 1",B30="to"),Arbejdstidsoversigt!$E$47,"")</f>
        <v/>
      </c>
      <c r="AK30">
        <f>IF(AND(C30="Skema 1",B30="fr"),Arbejdstidsoversigt!$E$48,"")</f>
        <v>0</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8"/>
        <v>0</v>
      </c>
      <c r="BC30" s="1">
        <f t="shared" si="21"/>
        <v>0</v>
      </c>
      <c r="BD30" s="1">
        <f t="shared" si="9"/>
        <v>0</v>
      </c>
      <c r="BE30" s="1">
        <f t="shared" si="10"/>
        <v>0</v>
      </c>
      <c r="BF30" s="1">
        <f t="shared" si="11"/>
        <v>0</v>
      </c>
      <c r="BG30" s="214" t="str">
        <f>IF(AND(C30="Skema 1",B30="ma"),Skemaoplysninger!$E$30,"")</f>
        <v/>
      </c>
      <c r="BH30" s="214" t="str">
        <f>IF(AND(C30="Skema 1",B30="ti"),Skemaoplysninger!$F$30,"")</f>
        <v/>
      </c>
      <c r="BI30" s="214" t="str">
        <f>IF(AND(C30="Skema 1",B30="on"),Skemaoplysninger!$G$30,"")</f>
        <v/>
      </c>
      <c r="BJ30" s="214" t="str">
        <f>IF(AND(C30="Skema 1",B30="to"),Skemaoplysninger!$H$30,"")</f>
        <v/>
      </c>
      <c r="BK30" s="214">
        <f>IF(AND(C30="Skema 1",B30="fr"),Skemaoplysninger!$I$30,"")</f>
        <v>0</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2"/>
        <v>0</v>
      </c>
      <c r="CC30" s="1">
        <f t="shared" si="13"/>
        <v>0</v>
      </c>
      <c r="CD30" s="214" t="str">
        <f>IF(AND(C30="Skema 1",B30="ma"),Skemaoplysninger!$E$39,"")</f>
        <v/>
      </c>
      <c r="CE30" s="214" t="str">
        <f>IF(AND(C30="Skema 1",B30="ti"),Skemaoplysninger!$F$39,"")</f>
        <v/>
      </c>
      <c r="CF30" s="214" t="str">
        <f>IF(AND(C30="Skema 1",B30="on"),Skemaoplysninger!$G$39,"")</f>
        <v/>
      </c>
      <c r="CG30" s="214" t="str">
        <f>IF(AND(C30="Skema 1",B30="to"),Skemaoplysninger!$H$39,"")</f>
        <v/>
      </c>
      <c r="CH30" s="214">
        <f>IF(AND(C30="Skema 1",B30="fr"),Skemaoplysninger!$I$39,"")</f>
        <v>0</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4"/>
        <v/>
      </c>
      <c r="DL30" t="str">
        <f t="shared" si="14"/>
        <v/>
      </c>
      <c r="DM30" t="str">
        <f t="shared" si="14"/>
        <v/>
      </c>
      <c r="DN30" t="str">
        <f t="shared" si="27"/>
        <v/>
      </c>
    </row>
    <row r="31" spans="1:118">
      <c r="A31" s="249">
        <f t="shared" si="15"/>
        <v>23</v>
      </c>
      <c r="B31" s="132" t="str">
        <f t="shared" si="0"/>
        <v>lø</v>
      </c>
      <c r="C31" s="133" t="s">
        <v>121</v>
      </c>
      <c r="D31" s="134" t="str">
        <f t="shared" si="1"/>
        <v/>
      </c>
      <c r="E31" s="871"/>
      <c r="F31" s="872"/>
      <c r="G31" s="873"/>
      <c r="H31" s="313"/>
      <c r="I31" s="327"/>
      <c r="J31" s="440"/>
      <c r="K31" s="405"/>
      <c r="L31" s="405"/>
      <c r="M31" s="405"/>
      <c r="N31" s="334">
        <f t="shared" si="16"/>
        <v>0</v>
      </c>
      <c r="O31" s="334">
        <f t="shared" si="17"/>
        <v>0</v>
      </c>
      <c r="P31" s="334">
        <f>IF(Stamoplysninger!$H$29="JA",Marts!DG31,CX31)</f>
        <v>0</v>
      </c>
      <c r="Q31" s="334">
        <f t="shared" si="18"/>
        <v>0</v>
      </c>
      <c r="R31" s="335"/>
      <c r="S31" s="341"/>
      <c r="T31" s="342"/>
      <c r="U31" s="342"/>
      <c r="V31" s="336"/>
      <c r="W31" s="472"/>
      <c r="X31" s="337"/>
      <c r="Y31">
        <f t="shared" si="19"/>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1",B31="ma"),Arbejdstidsoversigt!$E$44,"")</f>
        <v/>
      </c>
      <c r="AH31" t="str">
        <f>IF(AND(C31="Skema 1",B31="ti"),Arbejdstidsoversigt!$E$45,"")</f>
        <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8"/>
        <v>0</v>
      </c>
      <c r="BC31" s="1">
        <f t="shared" si="21"/>
        <v>0</v>
      </c>
      <c r="BD31" s="1">
        <f t="shared" si="9"/>
        <v>0</v>
      </c>
      <c r="BE31" s="1">
        <f t="shared" si="10"/>
        <v>0</v>
      </c>
      <c r="BF31" s="1">
        <f t="shared" si="11"/>
        <v>0</v>
      </c>
      <c r="BG31" s="214" t="str">
        <f>IF(AND(C31="Skema 1",B31="ma"),Skemaoplysninger!$E$30,"")</f>
        <v/>
      </c>
      <c r="BH31" s="214" t="str">
        <f>IF(AND(C31="Skema 1",B31="ti"),Skemaoplysninger!$F$30,"")</f>
        <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2"/>
        <v>0</v>
      </c>
      <c r="CC31" s="1">
        <f t="shared" si="13"/>
        <v>0</v>
      </c>
      <c r="CD31" s="214" t="str">
        <f>IF(AND(C31="Skema 1",B31="ma"),Skemaoplysninger!$E$39,"")</f>
        <v/>
      </c>
      <c r="CE31" s="214" t="str">
        <f>IF(AND(C31="Skema 1",B31="ti"),Skemaoplysninger!$F$39,"")</f>
        <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4"/>
        <v/>
      </c>
      <c r="DL31" t="str">
        <f t="shared" si="14"/>
        <v/>
      </c>
      <c r="DM31" t="str">
        <f t="shared" si="14"/>
        <v/>
      </c>
      <c r="DN31" t="str">
        <f t="shared" si="27"/>
        <v/>
      </c>
    </row>
    <row r="32" spans="1:118">
      <c r="A32" s="249">
        <f t="shared" si="15"/>
        <v>24</v>
      </c>
      <c r="B32" s="132" t="str">
        <f t="shared" si="0"/>
        <v>sø</v>
      </c>
      <c r="C32" s="133" t="s">
        <v>121</v>
      </c>
      <c r="D32" s="134" t="str">
        <f t="shared" si="1"/>
        <v/>
      </c>
      <c r="E32" s="868" t="s">
        <v>179</v>
      </c>
      <c r="F32" s="869"/>
      <c r="G32" s="870"/>
      <c r="H32" s="313"/>
      <c r="I32" s="327"/>
      <c r="J32" s="440"/>
      <c r="K32" s="405"/>
      <c r="L32" s="405"/>
      <c r="M32" s="405"/>
      <c r="N32" s="334">
        <f t="shared" si="16"/>
        <v>0</v>
      </c>
      <c r="O32" s="334">
        <f t="shared" si="17"/>
        <v>0</v>
      </c>
      <c r="P32" s="334">
        <f>IF(Stamoplysninger!$H$29="JA",Marts!DG32,CX32)</f>
        <v>0</v>
      </c>
      <c r="Q32" s="334">
        <f t="shared" si="18"/>
        <v>0</v>
      </c>
      <c r="R32" s="335"/>
      <c r="S32" s="341"/>
      <c r="T32" s="342"/>
      <c r="U32" s="342"/>
      <c r="V32" s="336"/>
      <c r="W32" s="472"/>
      <c r="X32" s="337"/>
      <c r="Y32">
        <f t="shared" si="19"/>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1",B32="ma"),Arbejdstidsoversigt!$E$44,"")</f>
        <v/>
      </c>
      <c r="AH32" t="str">
        <f>IF(AND(C32="Skema 1",B32="ti"),Arbejdstidsoversigt!$E$45,"")</f>
        <v/>
      </c>
      <c r="AI32" t="str">
        <f>IF(AND(C32="Skema 1",B32="on"),Arbejdstidsoversigt!$E$46,"")</f>
        <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8"/>
        <v>0</v>
      </c>
      <c r="BC32" s="1">
        <f t="shared" si="21"/>
        <v>0</v>
      </c>
      <c r="BD32" s="1">
        <f t="shared" si="9"/>
        <v>0</v>
      </c>
      <c r="BE32" s="1">
        <f t="shared" si="10"/>
        <v>0</v>
      </c>
      <c r="BF32" s="1">
        <f t="shared" si="11"/>
        <v>0</v>
      </c>
      <c r="BG32" s="214" t="str">
        <f>IF(AND(C32="Skema 1",B32="ma"),Skemaoplysninger!$E$30,"")</f>
        <v/>
      </c>
      <c r="BH32" s="214" t="str">
        <f>IF(AND(C32="Skema 1",B32="ti"),Skemaoplysninger!$F$30,"")</f>
        <v/>
      </c>
      <c r="BI32" s="214" t="str">
        <f>IF(AND(C32="Skema 1",B32="on"),Skemaoplysninger!$G$30,"")</f>
        <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2"/>
        <v>0</v>
      </c>
      <c r="CC32" s="1">
        <f t="shared" si="13"/>
        <v>0</v>
      </c>
      <c r="CD32" s="214" t="str">
        <f>IF(AND(C32="Skema 1",B32="ma"),Skemaoplysninger!$E$39,"")</f>
        <v/>
      </c>
      <c r="CE32" s="214" t="str">
        <f>IF(AND(C32="Skema 1",B32="ti"),Skemaoplysninger!$F$39,"")</f>
        <v/>
      </c>
      <c r="CF32" s="214" t="str">
        <f>IF(AND(C32="Skema 1",B32="on"),Skemaoplysninger!$G$39,"")</f>
        <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t="str">
        <f t="shared" si="25"/>
        <v>Palmesøndag</v>
      </c>
      <c r="DJ32" t="str">
        <f t="shared" si="26"/>
        <v/>
      </c>
      <c r="DK32" t="str">
        <f t="shared" si="14"/>
        <v/>
      </c>
      <c r="DL32" t="str">
        <f t="shared" si="14"/>
        <v>Palmesøndag</v>
      </c>
      <c r="DM32" t="str">
        <f t="shared" si="14"/>
        <v/>
      </c>
      <c r="DN32" t="str">
        <f t="shared" si="27"/>
        <v>Palmesøndag</v>
      </c>
    </row>
    <row r="33" spans="1:118">
      <c r="A33" s="249">
        <f t="shared" si="15"/>
        <v>25</v>
      </c>
      <c r="B33" s="132" t="str">
        <f t="shared" si="0"/>
        <v>ma</v>
      </c>
      <c r="C33" s="133" t="s">
        <v>129</v>
      </c>
      <c r="D33" s="134">
        <f t="shared" si="1"/>
        <v>13</v>
      </c>
      <c r="E33" s="871"/>
      <c r="F33" s="872"/>
      <c r="G33" s="873"/>
      <c r="H33" s="313"/>
      <c r="I33" s="582"/>
      <c r="J33" s="440"/>
      <c r="K33" s="405"/>
      <c r="L33" s="405"/>
      <c r="M33" s="405"/>
      <c r="N33" s="334">
        <f t="shared" si="16"/>
        <v>0</v>
      </c>
      <c r="O33" s="334">
        <f t="shared" si="17"/>
        <v>0</v>
      </c>
      <c r="P33" s="334">
        <f>IF(Stamoplysninger!$H$29="JA",Marts!DG33,CX33)</f>
        <v>0</v>
      </c>
      <c r="Q33" s="334">
        <f t="shared" si="18"/>
        <v>0</v>
      </c>
      <c r="R33" s="335"/>
      <c r="S33" s="341"/>
      <c r="T33" s="342"/>
      <c r="U33" s="342"/>
      <c r="V33" s="336"/>
      <c r="W33" s="472"/>
      <c r="X33" s="337"/>
      <c r="Y33">
        <f t="shared" si="19"/>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1",B33="ma"),Arbejdstidsoversigt!$E$44,"")</f>
        <v/>
      </c>
      <c r="AH33" t="str">
        <f>IF(AND(C33="Skema 1",B33="ti"),Arbejdstidsoversigt!$E$45,"")</f>
        <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8"/>
        <v>0</v>
      </c>
      <c r="BC33" s="1">
        <f t="shared" si="21"/>
        <v>0</v>
      </c>
      <c r="BD33" s="1">
        <f t="shared" si="9"/>
        <v>0</v>
      </c>
      <c r="BE33" s="1">
        <f t="shared" si="10"/>
        <v>0</v>
      </c>
      <c r="BF33" s="1">
        <f t="shared" si="11"/>
        <v>0</v>
      </c>
      <c r="BG33" s="214" t="str">
        <f>IF(AND(C33="Skema 1",B33="ma"),Skemaoplysninger!$E$30,"")</f>
        <v/>
      </c>
      <c r="BH33" s="214" t="str">
        <f>IF(AND(C33="Skema 1",B33="ti"),Skemaoplysninger!$F$30,"")</f>
        <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2"/>
        <v>0</v>
      </c>
      <c r="CC33" s="1">
        <f t="shared" si="13"/>
        <v>0</v>
      </c>
      <c r="CD33" s="214" t="str">
        <f>IF(AND(C33="Skema 1",B33="ma"),Skemaoplysninger!$E$39,"")</f>
        <v/>
      </c>
      <c r="CE33" s="214" t="str">
        <f>IF(AND(C33="Skema 1",B33="ti"),Skemaoplysninger!$F$39,"")</f>
        <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4"/>
        <v/>
      </c>
      <c r="DL33" t="str">
        <f t="shared" si="14"/>
        <v/>
      </c>
      <c r="DM33" t="str">
        <f t="shared" si="14"/>
        <v/>
      </c>
      <c r="DN33" t="str">
        <f t="shared" si="27"/>
        <v/>
      </c>
    </row>
    <row r="34" spans="1:118">
      <c r="A34" s="249">
        <f t="shared" si="15"/>
        <v>26</v>
      </c>
      <c r="B34" s="132" t="str">
        <f t="shared" si="0"/>
        <v>ti</v>
      </c>
      <c r="C34" s="133" t="s">
        <v>129</v>
      </c>
      <c r="D34" s="134" t="str">
        <f t="shared" si="1"/>
        <v/>
      </c>
      <c r="E34" s="871"/>
      <c r="F34" s="872"/>
      <c r="G34" s="873"/>
      <c r="H34" s="313"/>
      <c r="I34" s="582"/>
      <c r="J34" s="440"/>
      <c r="K34" s="405"/>
      <c r="L34" s="405"/>
      <c r="M34" s="405"/>
      <c r="N34" s="334">
        <f t="shared" si="16"/>
        <v>0</v>
      </c>
      <c r="O34" s="334">
        <f t="shared" si="17"/>
        <v>0</v>
      </c>
      <c r="P34" s="334">
        <f>IF(Stamoplysninger!$H$29="JA",Marts!DG34,CX34)</f>
        <v>0</v>
      </c>
      <c r="Q34" s="334">
        <f t="shared" si="18"/>
        <v>0</v>
      </c>
      <c r="R34" s="335"/>
      <c r="S34" s="341"/>
      <c r="T34" s="342"/>
      <c r="U34" s="342"/>
      <c r="V34" s="336"/>
      <c r="W34" s="472"/>
      <c r="X34" s="337"/>
      <c r="Y34">
        <f t="shared" si="19"/>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1",B34="ma"),Arbejdstidsoversigt!$E$44,"")</f>
        <v/>
      </c>
      <c r="AH34" t="str">
        <f>IF(AND(C34="Skema 1",B34="ti"),Arbejdstidsoversigt!$E$45,"")</f>
        <v/>
      </c>
      <c r="AI34" t="str">
        <f>IF(AND(C34="Skema 1",B34="on"),Arbejdstidsoversigt!$E$46,"")</f>
        <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8"/>
        <v>0</v>
      </c>
      <c r="BC34" s="1">
        <f t="shared" si="21"/>
        <v>0</v>
      </c>
      <c r="BD34" s="1">
        <f t="shared" si="9"/>
        <v>0</v>
      </c>
      <c r="BE34" s="1">
        <f t="shared" si="10"/>
        <v>0</v>
      </c>
      <c r="BF34" s="1">
        <f t="shared" si="11"/>
        <v>0</v>
      </c>
      <c r="BG34" s="214" t="str">
        <f>IF(AND(C34="Skema 1",B34="ma"),Skemaoplysninger!$E$30,"")</f>
        <v/>
      </c>
      <c r="BH34" s="214" t="str">
        <f>IF(AND(C34="Skema 1",B34="ti"),Skemaoplysninger!$F$30,"")</f>
        <v/>
      </c>
      <c r="BI34" s="214" t="str">
        <f>IF(AND(C34="Skema 1",B34="on"),Skemaoplysninger!$G$30,"")</f>
        <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2"/>
        <v>0</v>
      </c>
      <c r="CC34" s="1">
        <f t="shared" si="13"/>
        <v>0</v>
      </c>
      <c r="CD34" s="214" t="str">
        <f>IF(AND(C34="Skema 1",B34="ma"),Skemaoplysninger!$E$39,"")</f>
        <v/>
      </c>
      <c r="CE34" s="214" t="str">
        <f>IF(AND(C34="Skema 1",B34="ti"),Skemaoplysninger!$F$39,"")</f>
        <v/>
      </c>
      <c r="CF34" s="214" t="str">
        <f>IF(AND(C34="Skema 1",B34="on"),Skemaoplysninger!$G$39,"")</f>
        <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4"/>
        <v/>
      </c>
      <c r="DL34" t="str">
        <f t="shared" si="14"/>
        <v/>
      </c>
      <c r="DM34" t="str">
        <f t="shared" si="14"/>
        <v/>
      </c>
      <c r="DN34" t="str">
        <f t="shared" si="27"/>
        <v/>
      </c>
    </row>
    <row r="35" spans="1:118">
      <c r="A35" s="249">
        <f t="shared" si="15"/>
        <v>27</v>
      </c>
      <c r="B35" s="132" t="str">
        <f t="shared" si="0"/>
        <v>on</v>
      </c>
      <c r="C35" s="133" t="s">
        <v>129</v>
      </c>
      <c r="D35" s="134" t="str">
        <f t="shared" si="1"/>
        <v/>
      </c>
      <c r="E35" s="871"/>
      <c r="F35" s="872"/>
      <c r="G35" s="873"/>
      <c r="H35" s="313"/>
      <c r="I35" s="582"/>
      <c r="J35" s="440"/>
      <c r="K35" s="405"/>
      <c r="L35" s="405"/>
      <c r="M35" s="405"/>
      <c r="N35" s="334">
        <f t="shared" si="16"/>
        <v>0</v>
      </c>
      <c r="O35" s="334">
        <f t="shared" si="17"/>
        <v>0</v>
      </c>
      <c r="P35" s="334">
        <f>IF(Stamoplysninger!$H$29="JA",Marts!DG35,CX35)</f>
        <v>0</v>
      </c>
      <c r="Q35" s="334">
        <f t="shared" si="18"/>
        <v>0</v>
      </c>
      <c r="R35" s="335"/>
      <c r="S35" s="341"/>
      <c r="T35" s="342"/>
      <c r="U35" s="342"/>
      <c r="V35" s="336"/>
      <c r="W35" s="472"/>
      <c r="X35" s="337"/>
      <c r="Y35">
        <f t="shared" si="19"/>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1",B35="ma"),Arbejdstidsoversigt!$E$44,"")</f>
        <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0</v>
      </c>
      <c r="BB35" s="233">
        <f t="shared" si="8"/>
        <v>0</v>
      </c>
      <c r="BC35" s="1">
        <f t="shared" si="21"/>
        <v>0</v>
      </c>
      <c r="BD35" s="1">
        <f t="shared" si="9"/>
        <v>0</v>
      </c>
      <c r="BE35" s="1">
        <f t="shared" si="10"/>
        <v>0</v>
      </c>
      <c r="BF35" s="1">
        <f t="shared" si="11"/>
        <v>0</v>
      </c>
      <c r="BG35" s="214" t="str">
        <f>IF(AND(C35="Skema 1",B35="ma"),Skemaoplysninger!$E$30,"")</f>
        <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2"/>
        <v>0</v>
      </c>
      <c r="CC35" s="1">
        <f t="shared" si="13"/>
        <v>0</v>
      </c>
      <c r="CD35" s="214" t="str">
        <f>IF(AND(C35="Skema 1",B35="ma"),Skemaoplysninger!$E$39,"")</f>
        <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4"/>
        <v/>
      </c>
      <c r="DL35" t="str">
        <f t="shared" si="14"/>
        <v/>
      </c>
      <c r="DM35" t="str">
        <f t="shared" si="14"/>
        <v/>
      </c>
      <c r="DN35" t="str">
        <f t="shared" si="27"/>
        <v/>
      </c>
    </row>
    <row r="36" spans="1:118">
      <c r="A36" s="249">
        <f t="shared" si="15"/>
        <v>28</v>
      </c>
      <c r="B36" s="132" t="str">
        <f t="shared" si="0"/>
        <v>to</v>
      </c>
      <c r="C36" s="133" t="s">
        <v>120</v>
      </c>
      <c r="D36" s="134" t="str">
        <f t="shared" si="1"/>
        <v/>
      </c>
      <c r="E36" s="871" t="s">
        <v>106</v>
      </c>
      <c r="F36" s="872"/>
      <c r="G36" s="873"/>
      <c r="H36" s="313"/>
      <c r="I36" s="440"/>
      <c r="J36" s="440"/>
      <c r="K36" s="405"/>
      <c r="L36" s="405"/>
      <c r="M36" s="405"/>
      <c r="N36" s="334">
        <f t="shared" si="16"/>
        <v>0</v>
      </c>
      <c r="O36" s="334">
        <f t="shared" si="17"/>
        <v>0</v>
      </c>
      <c r="P36" s="334">
        <f>IF(Stamoplysninger!$H$29="JA",Marts!DG36,CX36)</f>
        <v>0</v>
      </c>
      <c r="Q36" s="334">
        <f t="shared" si="18"/>
        <v>0</v>
      </c>
      <c r="R36" s="335"/>
      <c r="S36" s="341"/>
      <c r="T36" s="342"/>
      <c r="U36" s="342"/>
      <c r="V36" s="336"/>
      <c r="W36" s="472"/>
      <c r="X36" s="337"/>
      <c r="Y36">
        <f t="shared" si="19"/>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1",B36="ma"),Arbejdstidsoversigt!$E$44,"")</f>
        <v/>
      </c>
      <c r="AH36" t="str">
        <f>IF(AND(C36="Skema 1",B36="ti"),Arbejdstidsoversigt!$E$45,"")</f>
        <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8"/>
        <v>0</v>
      </c>
      <c r="BC36" s="1">
        <f t="shared" si="21"/>
        <v>0</v>
      </c>
      <c r="BD36" s="1">
        <f t="shared" si="9"/>
        <v>0</v>
      </c>
      <c r="BE36" s="1">
        <f t="shared" si="10"/>
        <v>0</v>
      </c>
      <c r="BF36" s="1">
        <f t="shared" si="11"/>
        <v>0</v>
      </c>
      <c r="BG36" s="214" t="str">
        <f>IF(AND(C36="Skema 1",B36="ma"),Skemaoplysninger!$E$30,"")</f>
        <v/>
      </c>
      <c r="BH36" s="214" t="str">
        <f>IF(AND(C36="Skema 1",B36="ti"),Skemaoplysninger!$F$30,"")</f>
        <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2"/>
        <v>0</v>
      </c>
      <c r="CC36" s="1">
        <f t="shared" si="13"/>
        <v>0</v>
      </c>
      <c r="CD36" s="214" t="str">
        <f>IF(AND(C36="Skema 1",B36="ma"),Skemaoplysninger!$E$39,"")</f>
        <v/>
      </c>
      <c r="CE36" s="214" t="str">
        <f>IF(AND(C36="Skema 1",B36="ti"),Skemaoplysninger!$F$39,"")</f>
        <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t="str">
        <f t="shared" si="25"/>
        <v>Skærtorsdag</v>
      </c>
      <c r="DJ36" t="str">
        <f t="shared" si="26"/>
        <v/>
      </c>
      <c r="DK36" t="str">
        <f t="shared" si="14"/>
        <v/>
      </c>
      <c r="DL36" t="str">
        <f t="shared" si="14"/>
        <v>Skærtorsdag</v>
      </c>
      <c r="DM36" t="str">
        <f t="shared" si="14"/>
        <v/>
      </c>
      <c r="DN36" t="str">
        <f t="shared" si="27"/>
        <v>Skærtorsdag</v>
      </c>
    </row>
    <row r="37" spans="1:118">
      <c r="A37" s="249">
        <f>IF(ISNUMBER(A36),A36+1,1)</f>
        <v>29</v>
      </c>
      <c r="B37" s="132" t="str">
        <f t="shared" si="0"/>
        <v>fr</v>
      </c>
      <c r="C37" s="133" t="s">
        <v>120</v>
      </c>
      <c r="D37" s="134" t="str">
        <f t="shared" si="1"/>
        <v/>
      </c>
      <c r="E37" s="871" t="s">
        <v>168</v>
      </c>
      <c r="F37" s="872"/>
      <c r="G37" s="873"/>
      <c r="H37" s="313"/>
      <c r="I37" s="440"/>
      <c r="J37" s="440"/>
      <c r="K37" s="405"/>
      <c r="L37" s="405"/>
      <c r="M37" s="405"/>
      <c r="N37" s="334">
        <f t="shared" si="16"/>
        <v>0</v>
      </c>
      <c r="O37" s="334">
        <f t="shared" si="17"/>
        <v>0</v>
      </c>
      <c r="P37" s="334">
        <f>IF(Stamoplysninger!$H$29="JA",Marts!DG37,CX37)</f>
        <v>0</v>
      </c>
      <c r="Q37" s="334">
        <f t="shared" si="18"/>
        <v>0</v>
      </c>
      <c r="R37" s="335"/>
      <c r="S37" s="341"/>
      <c r="T37" s="342"/>
      <c r="U37" s="342"/>
      <c r="V37" s="336" t="s">
        <v>621</v>
      </c>
      <c r="W37" s="472"/>
      <c r="X37" s="337"/>
      <c r="Y37">
        <f t="shared" si="19"/>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1",B37="ma"),Arbejdstidsoversigt!$E$44,"")</f>
        <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0</v>
      </c>
      <c r="BB37" s="233">
        <f t="shared" si="8"/>
        <v>0</v>
      </c>
      <c r="BC37" s="1">
        <f t="shared" si="21"/>
        <v>0</v>
      </c>
      <c r="BD37" s="1">
        <f t="shared" si="9"/>
        <v>0</v>
      </c>
      <c r="BE37" s="1">
        <f t="shared" si="10"/>
        <v>0</v>
      </c>
      <c r="BF37" s="1">
        <f t="shared" si="11"/>
        <v>0</v>
      </c>
      <c r="BG37" s="214" t="str">
        <f>IF(AND(C37="Skema 1",B37="ma"),Skemaoplysninger!$E$30,"")</f>
        <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2"/>
        <v>0</v>
      </c>
      <c r="CC37" s="1">
        <f t="shared" si="13"/>
        <v>0</v>
      </c>
      <c r="CD37" s="214" t="str">
        <f>IF(AND(C37="Skema 1",B37="ma"),Skemaoplysninger!$E$39,"")</f>
        <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t="str">
        <f t="shared" si="25"/>
        <v>Langfredag</v>
      </c>
      <c r="DJ37" t="str">
        <f t="shared" si="26"/>
        <v/>
      </c>
      <c r="DK37" t="str">
        <f t="shared" si="14"/>
        <v/>
      </c>
      <c r="DL37" t="str">
        <f t="shared" si="14"/>
        <v>Langfredag</v>
      </c>
      <c r="DM37" t="str">
        <f t="shared" si="14"/>
        <v/>
      </c>
      <c r="DN37" t="str">
        <f t="shared" si="27"/>
        <v>Langfredag</v>
      </c>
    </row>
    <row r="38" spans="1:118">
      <c r="A38" s="249">
        <f t="shared" si="15"/>
        <v>30</v>
      </c>
      <c r="B38" s="132" t="str">
        <f t="shared" si="0"/>
        <v>lø</v>
      </c>
      <c r="C38" s="133" t="s">
        <v>121</v>
      </c>
      <c r="D38" s="134" t="str">
        <f t="shared" si="1"/>
        <v/>
      </c>
      <c r="E38" s="871"/>
      <c r="F38" s="872"/>
      <c r="G38" s="873"/>
      <c r="H38" s="313"/>
      <c r="I38" s="440"/>
      <c r="J38" s="440"/>
      <c r="K38" s="405"/>
      <c r="L38" s="405"/>
      <c r="M38" s="405"/>
      <c r="N38" s="334">
        <f t="shared" si="16"/>
        <v>0</v>
      </c>
      <c r="O38" s="334">
        <f t="shared" si="17"/>
        <v>0</v>
      </c>
      <c r="P38" s="334">
        <f>IF(Stamoplysninger!$H$29="JA",Marts!DG38,CX38)</f>
        <v>0</v>
      </c>
      <c r="Q38" s="334">
        <f t="shared" si="18"/>
        <v>0</v>
      </c>
      <c r="R38" s="335"/>
      <c r="S38" s="341"/>
      <c r="T38" s="342"/>
      <c r="U38" s="471"/>
      <c r="V38" s="336"/>
      <c r="W38" s="472"/>
      <c r="X38" s="337"/>
      <c r="Y38">
        <f t="shared" si="19"/>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1",B38="ma"),Arbejdstidsoversigt!$E$44,"")</f>
        <v/>
      </c>
      <c r="AH38" t="str">
        <f>IF(AND(C38="Skema 1",B38="ti"),Arbejdstidsoversigt!$E$45,"")</f>
        <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0</v>
      </c>
      <c r="BB38" s="233">
        <f t="shared" si="8"/>
        <v>0</v>
      </c>
      <c r="BC38" s="1">
        <f t="shared" si="21"/>
        <v>0</v>
      </c>
      <c r="BD38" s="1">
        <f t="shared" si="9"/>
        <v>0</v>
      </c>
      <c r="BE38" s="1">
        <f t="shared" si="10"/>
        <v>0</v>
      </c>
      <c r="BF38" s="1">
        <f t="shared" si="11"/>
        <v>0</v>
      </c>
      <c r="BG38" s="214" t="str">
        <f>IF(AND(C38="Skema 1",B38="ma"),Skemaoplysninger!$E$30,"")</f>
        <v/>
      </c>
      <c r="BH38" s="214" t="str">
        <f>IF(AND(C38="Skema 1",B38="ti"),Skemaoplysninger!$F$30,"")</f>
        <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3",B38="ti"),Skemaoplysninger!$Z$30,"")</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2"/>
        <v>0</v>
      </c>
      <c r="CC38" s="1">
        <f t="shared" si="13"/>
        <v>0</v>
      </c>
      <c r="CD38" s="214" t="str">
        <f>IF(AND(C38="Skema 1",B38="ma"),Skemaoplysninger!$E$39,"")</f>
        <v/>
      </c>
      <c r="CE38" s="214" t="str">
        <f>IF(AND(C38="Skema 1",B38="ti"),Skemaoplysninger!$F$39,"")</f>
        <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4"/>
        <v/>
      </c>
      <c r="DL38" t="str">
        <f t="shared" si="14"/>
        <v/>
      </c>
      <c r="DM38" t="str">
        <f t="shared" si="14"/>
        <v/>
      </c>
      <c r="DN38" t="str">
        <f t="shared" si="27"/>
        <v/>
      </c>
    </row>
    <row r="39" spans="1:118">
      <c r="A39" s="249">
        <f>IF(ISNUMBER(A38),A38+1,1)</f>
        <v>31</v>
      </c>
      <c r="B39" s="132" t="str">
        <f t="shared" si="0"/>
        <v>sø</v>
      </c>
      <c r="C39" s="133" t="s">
        <v>121</v>
      </c>
      <c r="D39" s="134" t="str">
        <f t="shared" si="1"/>
        <v/>
      </c>
      <c r="E39" s="868" t="s">
        <v>115</v>
      </c>
      <c r="F39" s="869"/>
      <c r="G39" s="870"/>
      <c r="H39" s="312"/>
      <c r="I39" s="440"/>
      <c r="J39" s="440"/>
      <c r="K39" s="405"/>
      <c r="L39" s="405"/>
      <c r="M39" s="405"/>
      <c r="N39" s="334">
        <f t="shared" si="16"/>
        <v>0</v>
      </c>
      <c r="O39" s="334">
        <f t="shared" si="17"/>
        <v>0</v>
      </c>
      <c r="P39" s="334">
        <f>IF(Stamoplysninger!$H$29="JA",Marts!DG39,CX39)</f>
        <v>0</v>
      </c>
      <c r="Q39" s="334">
        <f t="shared" si="18"/>
        <v>0</v>
      </c>
      <c r="R39" s="335"/>
      <c r="S39" s="341"/>
      <c r="T39" s="342"/>
      <c r="U39" s="218"/>
      <c r="V39" s="336"/>
      <c r="W39" s="472"/>
      <c r="X39" s="473"/>
      <c r="Y39">
        <f t="shared" si="19"/>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1",B39="ma"),Arbejdstidsoversigt!$E$44,"")</f>
        <v/>
      </c>
      <c r="AH39" t="str">
        <f>IF(AND(C39="Skema 1",B39="ti"),Arbejdstidsoversigt!$E$45,"")</f>
        <v/>
      </c>
      <c r="AI39" t="str">
        <f>IF(AND(C39="Skema 1",B39="on"),Arbejdstidsoversigt!$E$46,"")</f>
        <v/>
      </c>
      <c r="AJ39" t="str">
        <f>IF(AND(C39="Skema 1",B39="to"),Arbejdstidsoversigt!$E$47,"")</f>
        <v/>
      </c>
      <c r="AK39" t="str">
        <f>IF(AND(C39="Skema 1",B39="fr"),Arbejdstidsoversigt!$E$48,"")</f>
        <v/>
      </c>
      <c r="AL39" t="str">
        <f>IF(AND(C39="Skema 2",B39="ma"),Arbejdstidsoversigt!$E$53,"")</f>
        <v/>
      </c>
      <c r="AM39" t="str">
        <f>IF(AND(C39="Skema 2",B39="ti"),Arbejdstidsoversigt!$E$54,"")</f>
        <v/>
      </c>
      <c r="AN39" t="str">
        <f>IF(AND(C39="Skema 2",B39="on"),Arbejdstidsoversigt!$E$55,"")</f>
        <v/>
      </c>
      <c r="AO39" t="str">
        <f>IF(AND(C39="Skema 2",B39="to"),Arbejdstidsoversigt!$E$56,"")</f>
        <v/>
      </c>
      <c r="AP39" t="str">
        <f>IF(AND(C39="Skema 2",B39="fr"),Arbejdstidsoversigt!$E$57,"")</f>
        <v/>
      </c>
      <c r="AQ39" t="str">
        <f>IF(AND(C39="Skema 3",B39="ma"),Arbejdstidsoversigt!$E$62,"")</f>
        <v/>
      </c>
      <c r="AR39" t="str">
        <f>IF(AND(C39="Skema 3",B39="ti"),Arbejdstidsoversigt!$E$63,"")</f>
        <v/>
      </c>
      <c r="AS39" t="str">
        <f>IF(AND(C39="Skema 3",B39="on"),Arbejdstidsoversigt!$E$64,"")</f>
        <v/>
      </c>
      <c r="AT39" t="str">
        <f>IF(AND(C39="Skema 3",B39="to"),Arbejdstidsoversigt!$E$65,"")</f>
        <v/>
      </c>
      <c r="AU39" t="str">
        <f>IF(AND(C39="Skema 3",B39="fr"),Arbejdstidsoversigt!$E$66,"")</f>
        <v/>
      </c>
      <c r="AV39" t="str">
        <f>IF(AND(C39="Skema 4",B39="ma"),Arbejdstidsoversigt!$E$71,"")</f>
        <v/>
      </c>
      <c r="AW39" t="str">
        <f>IF(AND(C39="Skema 4",B39="ti"),Arbejdstidsoversigt!$E$72,"")</f>
        <v/>
      </c>
      <c r="AX39" t="str">
        <f>IF(AND(C39="Skema 4",B39="on"),Arbejdstidsoversigt!$E$73,"")</f>
        <v/>
      </c>
      <c r="AY39" t="str">
        <f>IF(AND(C39="Skema 4",B39="to"),Arbejdstidsoversigt!$E$74,"")</f>
        <v/>
      </c>
      <c r="AZ39" t="str">
        <f>IF(AND(C39="Skema 4",B39="fr"),Arbejdstidsoversigt!$E$75,"")</f>
        <v/>
      </c>
      <c r="BA39" s="1">
        <f t="shared" si="20"/>
        <v>0</v>
      </c>
      <c r="BB39" s="233">
        <f t="shared" si="8"/>
        <v>0</v>
      </c>
      <c r="BC39" s="1">
        <f t="shared" si="21"/>
        <v>0</v>
      </c>
      <c r="BD39" s="1">
        <f t="shared" si="9"/>
        <v>0</v>
      </c>
      <c r="BE39" s="1">
        <f t="shared" si="10"/>
        <v>0</v>
      </c>
      <c r="BF39" s="1">
        <f t="shared" si="11"/>
        <v>0</v>
      </c>
      <c r="BG39" s="214" t="str">
        <f>IF(AND(C39="Skema 1",B39="ma"),Skemaoplysninger!$E$30,"")</f>
        <v/>
      </c>
      <c r="BH39" s="214" t="str">
        <f>IF(AND(C39="Skema 1",B39="ti"),Skemaoplysninger!$F$30,"")</f>
        <v/>
      </c>
      <c r="BI39" s="214" t="str">
        <f>IF(AND(C39="Skema 1",B39="on"),Skemaoplysninger!$G$30,"")</f>
        <v/>
      </c>
      <c r="BJ39" s="214" t="str">
        <f>IF(AND(C39="Skema 1",B39="to"),Skemaoplysninger!$H$30,"")</f>
        <v/>
      </c>
      <c r="BK39" s="214" t="str">
        <f>IF(AND(C39="Skema 1",B39="fr"),Skemaoplysninger!$I$30,"")</f>
        <v/>
      </c>
      <c r="BL39" s="214" t="str">
        <f>IF(AND(C39="Skema 2",B39="ma"),Skemaoplysninger!$O$30,"")</f>
        <v/>
      </c>
      <c r="BM39" s="214" t="str">
        <f>IF(AND(C39="Skema 2",B39="ti"),Skemaoplysninger!$P$30,"")</f>
        <v/>
      </c>
      <c r="BN39" s="214" t="str">
        <f>IF(AND(C39="Skema 2",B39="on"),Skemaoplysninger!$Q$30,"")</f>
        <v/>
      </c>
      <c r="BO39" s="214" t="str">
        <f>IF(AND(C39="Skema 2",B39="to"),Skemaoplysninger!$R$30,"")</f>
        <v/>
      </c>
      <c r="BP39" s="214" t="str">
        <f>IF(AND(C39="Skema 2",B39="fr"),Skemaoplysninger!$S$30,"")</f>
        <v/>
      </c>
      <c r="BQ39" s="214" t="str">
        <f>IF(AND(C39="Skema 3",B39="ma"),Skemaoplysninger!$Y$30,"")</f>
        <v/>
      </c>
      <c r="BR39" s="214" t="str">
        <f>IF(AND(C39="Skema 3",B39="ti"),Skemaoplysninger!$Z$30,"")</f>
        <v/>
      </c>
      <c r="BS39" s="214" t="str">
        <f>IF(AND(C39="Skema 3",B39="on"),Skemaoplysninger!$AA$30,"")</f>
        <v/>
      </c>
      <c r="BT39" s="214" t="str">
        <f>IF(AND(C39="Skema 3",B39="to"),Skemaoplysninger!$AB$30,"")</f>
        <v/>
      </c>
      <c r="BU39" s="214" t="str">
        <f>IF(AND(C39="Skema 3",B39="fr"),Skemaoplysninger!$AC$30,"")</f>
        <v/>
      </c>
      <c r="BV39" s="214" t="str">
        <f>IF(AND(C39="Skema 4",B39="ma"),Skemaoplysninger!$AI$30,"")</f>
        <v/>
      </c>
      <c r="BW39" s="214" t="str">
        <f>IF(AND(C39="Skema 4",B39="ti"),Skemaoplysninger!$AJ$30,"")</f>
        <v/>
      </c>
      <c r="BX39" s="214" t="str">
        <f>IF(AND(C39="Skema 4",B39="on"),Skemaoplysninger!$AK$30,"")</f>
        <v/>
      </c>
      <c r="BY39" s="214" t="str">
        <f>IF(AND(C39="Skema 4",B39="to"),Skemaoplysninger!$AL$30,"")</f>
        <v/>
      </c>
      <c r="BZ39" s="214" t="str">
        <f>IF(AND(C39="Skema 4",B39="fr"),Skemaoplysninger!$AM$30,"")</f>
        <v/>
      </c>
      <c r="CA39" s="1">
        <f t="shared" si="22"/>
        <v>0</v>
      </c>
      <c r="CB39" s="1">
        <f t="shared" si="12"/>
        <v>0</v>
      </c>
      <c r="CC39" s="1">
        <f t="shared" si="13"/>
        <v>0</v>
      </c>
      <c r="CD39" s="214" t="str">
        <f>IF(AND(C39="Skema 1",B39="ma"),Skemaoplysninger!$E$39,"")</f>
        <v/>
      </c>
      <c r="CE39" s="214" t="str">
        <f>IF(AND(C39="Skema 1",B39="ti"),Skemaoplysninger!$F$39,"")</f>
        <v/>
      </c>
      <c r="CF39" s="214" t="str">
        <f>IF(AND(C39="Skema 1",B39="on"),Skemaoplysninger!$G$39,"")</f>
        <v/>
      </c>
      <c r="CG39" s="214" t="str">
        <f>IF(AND(C39="Skema 1",B39="to"),Skemaoplysninger!$H$39,"")</f>
        <v/>
      </c>
      <c r="CH39" s="214" t="str">
        <f>IF(AND(C39="Skema 1",B39="fr"),Skemaoplysninger!$I$39,"")</f>
        <v/>
      </c>
      <c r="CI39" s="214" t="str">
        <f>IF(AND(C39="Skema 2",B39="ma"),Skemaoplysninger!$O$39,"")</f>
        <v/>
      </c>
      <c r="CJ39" s="214" t="str">
        <f>IF(AND(C39="Skema 2",B39="ti"),Skemaoplysninger!$P$39,"")</f>
        <v/>
      </c>
      <c r="CK39" s="214" t="str">
        <f>IF(AND(C39="Skema 2",B39="on"),Skemaoplysninger!$Q$39,"")</f>
        <v/>
      </c>
      <c r="CL39" s="214" t="str">
        <f>IF(AND(C39="Skema 2",B39="to"),Skemaoplysninger!$R$39,"")</f>
        <v/>
      </c>
      <c r="CM39" s="214" t="str">
        <f>IF(AND(C39="Skema 2",B39="fr"),Skemaoplysninger!$S$39,"")</f>
        <v/>
      </c>
      <c r="CN39" s="214" t="str">
        <f>IF(AND(C39="Skema 3",B39="ma"),Skemaoplysninger!$Y$39,"")</f>
        <v/>
      </c>
      <c r="CO39" s="214" t="str">
        <f>IF(AND(C39="Skema 3",B39="ti"),Skemaoplysninger!$Z$39,"")</f>
        <v/>
      </c>
      <c r="CP39" s="214" t="str">
        <f>IF(AND(C39="Skema 3",B39="on"),Skemaoplysninger!$AA$39,"")</f>
        <v/>
      </c>
      <c r="CQ39" s="214" t="str">
        <f>IF(AND(C39="Skema 3",B39="to"),Skemaoplysninger!$AB$39,"")</f>
        <v/>
      </c>
      <c r="CR39" s="214" t="str">
        <f>IF(AND(C39="Skema 3",B39="fr"),Skemaoplysninger!$AC$39,"")</f>
        <v/>
      </c>
      <c r="CS39" s="214" t="str">
        <f>IF(AND(C39="Skema 4",B39="ma"),Skemaoplysninger!$AI$39,"")</f>
        <v/>
      </c>
      <c r="CT39" s="214" t="str">
        <f>IF(AND(C39="Skema 4",B39="ti"),Skemaoplysninger!$AJ$39,"")</f>
        <v/>
      </c>
      <c r="CU39" s="214" t="str">
        <f>IF(AND(C39="Skema 4",B39="on"),Skemaoplysninger!$AK$39,"")</f>
        <v/>
      </c>
      <c r="CV39" s="214" t="str">
        <f>IF(AND(C39="Skema 4",B39="to"),Skemaoplysninger!$AL$39,"")</f>
        <v/>
      </c>
      <c r="CW39" s="214" t="str">
        <f>IF(AND(C39="Skema 4",B39="fr"),Skemaoplysninger!$AM$39,"")</f>
        <v/>
      </c>
      <c r="CX39" s="254">
        <f>IF(Stamoplysninger!$H$29="NEJ",SUM(CB39:CW39),0)</f>
        <v>0</v>
      </c>
      <c r="CY39" s="254">
        <f>IF(C39="Skema 1",Stamoplysninger!$H$30/200,0)</f>
        <v>0</v>
      </c>
      <c r="CZ39" s="254">
        <f>IF(C39="Skema 2",Stamoplysninger!$H$30/200,0)</f>
        <v>0</v>
      </c>
      <c r="DA39" s="254">
        <f>IF(C39="Skema 3",Stamoplysninger!$H$30/200,0)</f>
        <v>0</v>
      </c>
      <c r="DB39" s="254">
        <f>IF(C39="Skema 4",Stamoplysninger!$H$30/200,0)</f>
        <v>0</v>
      </c>
      <c r="DC39" s="254">
        <f>IF(C39="fagdag",Stamoplysninger!$H$30/200,0)</f>
        <v>0</v>
      </c>
      <c r="DD39" s="254">
        <f>IF(C39="emnedag",Stamoplysninger!$H$30/200,0)</f>
        <v>0</v>
      </c>
      <c r="DE39" s="254">
        <f>IF(C39="lejrskole",Stamoplysninger!$H$30/200,0)</f>
        <v>0</v>
      </c>
      <c r="DF39" s="254">
        <f>IF(C39="ekskursion",Stamoplysninger!$H$30/200,0)</f>
        <v>0</v>
      </c>
      <c r="DG39" s="254">
        <f t="shared" si="23"/>
        <v>0</v>
      </c>
      <c r="DH39" t="str">
        <f t="shared" si="24"/>
        <v/>
      </c>
      <c r="DI39" t="str">
        <f t="shared" si="25"/>
        <v>Påskedag</v>
      </c>
      <c r="DJ39" t="str">
        <f t="shared" si="26"/>
        <v/>
      </c>
      <c r="DK39" t="str">
        <f t="shared" ref="DK39:DM39" si="28">IF(DH39=0,"",DH39)</f>
        <v/>
      </c>
      <c r="DL39" t="str">
        <f t="shared" si="28"/>
        <v>Påskedag</v>
      </c>
      <c r="DM39" t="str">
        <f t="shared" si="28"/>
        <v/>
      </c>
      <c r="DN39" t="str">
        <f t="shared" si="27"/>
        <v>Påskedag</v>
      </c>
    </row>
    <row r="40" spans="1:118" ht="17" thickBot="1">
      <c r="A40" s="889" t="s">
        <v>263</v>
      </c>
      <c r="B40" s="890"/>
      <c r="C40" s="890"/>
      <c r="D40" s="890"/>
      <c r="E40" s="890"/>
      <c r="F40" s="890"/>
      <c r="G40" s="890"/>
      <c r="H40" s="890"/>
      <c r="I40" s="891"/>
      <c r="J40" s="329"/>
      <c r="K40" s="338"/>
      <c r="L40" s="338"/>
      <c r="M40" s="338"/>
      <c r="N40" s="339">
        <f t="shared" ref="N40:Q40" si="29">SUM(N9:N39)</f>
        <v>0</v>
      </c>
      <c r="O40" s="339">
        <f t="shared" si="29"/>
        <v>0</v>
      </c>
      <c r="P40" s="339">
        <f t="shared" si="29"/>
        <v>0</v>
      </c>
      <c r="Q40" s="339">
        <f t="shared" si="29"/>
        <v>0</v>
      </c>
      <c r="R40" s="340">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59"/>
      <c r="T40" s="460"/>
      <c r="U40" s="460"/>
      <c r="V40" s="460">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60">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61">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5">
        <f>SUM(Y9:Y39)</f>
        <v>0</v>
      </c>
      <c r="Z40" s="425">
        <f>Z9+Z10+Z11+Z12+Z13+Z14+Z15+Z16+Z17+Z18+Z19+Z20+Z21+Z22+Z23+Z24+Z25+Z26+Z27+Z28+Z29+Z30+Z31+Z32+Z33+Z34+Z35+Z36+Z37+Z38+Z39</f>
        <v>0</v>
      </c>
      <c r="AA40" s="239">
        <f t="shared" ref="AA40:AF40" si="30">SUM(AA9:AA39)</f>
        <v>0</v>
      </c>
      <c r="AB40" s="239">
        <f t="shared" si="30"/>
        <v>0</v>
      </c>
      <c r="AC40" s="239">
        <f t="shared" si="30"/>
        <v>0</v>
      </c>
      <c r="AD40" s="239">
        <f t="shared" si="30"/>
        <v>0</v>
      </c>
      <c r="AE40" s="239">
        <f t="shared" si="30"/>
        <v>0</v>
      </c>
      <c r="AF40" s="239">
        <f t="shared" si="30"/>
        <v>0</v>
      </c>
      <c r="BA40" s="1">
        <f>SUM(BA9:BA39)</f>
        <v>0</v>
      </c>
      <c r="BB40" s="116"/>
      <c r="BC40" s="239">
        <f>SUM(BC9:BC39)</f>
        <v>0</v>
      </c>
      <c r="BD40" s="239">
        <f>SUM(BD9:BD39)</f>
        <v>0</v>
      </c>
      <c r="BE40" s="239">
        <f t="shared" ref="BE40:BF40" si="31">SUM(BE9:BE39)</f>
        <v>0</v>
      </c>
      <c r="BF40" s="239">
        <f t="shared" si="31"/>
        <v>0</v>
      </c>
      <c r="CA40" s="239">
        <f>SUM(CA9:CA39)</f>
        <v>0</v>
      </c>
      <c r="CB40" s="239">
        <f t="shared" ref="CB40:CC40" si="32">SUM(CB9:CB39)</f>
        <v>0</v>
      </c>
      <c r="CC40" s="239">
        <f t="shared" si="32"/>
        <v>0</v>
      </c>
      <c r="CX40" s="254"/>
      <c r="CY40" s="254">
        <f t="shared" ref="CY40:DG40" si="33">SUM(CY9:CY39)</f>
        <v>0</v>
      </c>
      <c r="CZ40" s="254">
        <f t="shared" si="33"/>
        <v>0</v>
      </c>
      <c r="DA40" s="254">
        <f t="shared" si="33"/>
        <v>0</v>
      </c>
      <c r="DB40" s="254">
        <f t="shared" si="33"/>
        <v>0</v>
      </c>
      <c r="DC40" s="254">
        <f t="shared" si="33"/>
        <v>0</v>
      </c>
      <c r="DD40" s="254">
        <f t="shared" si="33"/>
        <v>0</v>
      </c>
      <c r="DE40" s="254">
        <f t="shared" si="33"/>
        <v>0</v>
      </c>
      <c r="DF40" s="254">
        <f t="shared" si="33"/>
        <v>0</v>
      </c>
      <c r="DG40" s="254">
        <f t="shared" si="33"/>
        <v>0</v>
      </c>
    </row>
    <row r="41" spans="1:118" ht="26" thickBot="1">
      <c r="A41" s="236"/>
      <c r="B41" s="236"/>
      <c r="C41" s="236"/>
      <c r="D41" s="236"/>
      <c r="E41" s="236"/>
      <c r="F41" s="236"/>
      <c r="G41" s="236"/>
      <c r="H41" s="236"/>
      <c r="I41" s="236"/>
      <c r="J41" s="236"/>
      <c r="K41" s="243"/>
      <c r="L41" s="243"/>
      <c r="M41" s="243"/>
      <c r="N41" s="243"/>
      <c r="O41" s="243"/>
      <c r="P41" s="243"/>
      <c r="Q41" s="243"/>
      <c r="R41" s="243"/>
      <c r="S41" s="478"/>
      <c r="T41" s="478"/>
      <c r="U41" s="478"/>
      <c r="V41" s="478"/>
      <c r="W41" s="478"/>
      <c r="X41" s="478"/>
      <c r="Y41" s="239"/>
      <c r="Z41" s="215"/>
      <c r="AA41" s="239"/>
      <c r="AB41" s="215"/>
      <c r="AC41" s="215"/>
      <c r="AD41" s="239"/>
      <c r="AE41" s="239"/>
      <c r="AG41" s="239"/>
      <c r="BC41" s="239"/>
      <c r="BD41" s="239"/>
      <c r="BE41" s="239"/>
      <c r="BF41" s="239"/>
      <c r="BG41" s="116"/>
      <c r="CB41" s="239"/>
      <c r="CC41" s="239"/>
      <c r="CD41" s="116"/>
      <c r="CX41" s="253"/>
      <c r="CZ41"/>
    </row>
    <row r="42" spans="1:118" ht="70" customHeight="1">
      <c r="A42" s="875" t="str">
        <f>"Arbejdstid for "&amp;A7&amp;" måned:"</f>
        <v>Arbejdstid for Marts måned:</v>
      </c>
      <c r="B42" s="876"/>
      <c r="C42" s="876"/>
      <c r="D42" s="876"/>
      <c r="E42" s="876"/>
      <c r="F42" s="876"/>
      <c r="G42" s="876"/>
      <c r="H42" s="347" t="s">
        <v>258</v>
      </c>
      <c r="I42" s="876" t="s">
        <v>224</v>
      </c>
      <c r="J42" s="877"/>
      <c r="K42" s="878"/>
      <c r="L42" s="267"/>
      <c r="M42" s="843" t="str">
        <f>"Ulempetimer og weekendtimer i "&amp;A5&amp;""</f>
        <v>Ulempetimer og weekendtimer i Marts måneds kalender for: . Måneden vedr. normperioden:  - .</v>
      </c>
      <c r="N42" s="844"/>
      <c r="O42" s="844"/>
      <c r="P42" s="844"/>
      <c r="Q42" s="844"/>
      <c r="R42" s="844"/>
      <c r="S42" s="844"/>
      <c r="T42" s="844"/>
      <c r="U42" s="844"/>
      <c r="V42" s="844"/>
      <c r="W42" s="844"/>
      <c r="X42" s="845"/>
      <c r="Y42" s="243"/>
      <c r="Z42" s="243"/>
      <c r="AD42" s="94"/>
      <c r="AE42" s="94"/>
      <c r="BM42" s="1"/>
      <c r="CJ42" s="1"/>
      <c r="CU42" s="253"/>
      <c r="CV42" s="253"/>
      <c r="CY42"/>
      <c r="CZ42"/>
    </row>
    <row r="43" spans="1:118">
      <c r="A43" s="879" t="s">
        <v>601</v>
      </c>
      <c r="B43" s="880"/>
      <c r="C43" s="880"/>
      <c r="D43" s="880"/>
      <c r="E43" s="880"/>
      <c r="F43" s="880"/>
      <c r="G43" s="880"/>
      <c r="H43" s="261">
        <f>D78</f>
        <v>21</v>
      </c>
      <c r="I43" s="892">
        <f>IF(Stamoplysninger!$E$12="Ja",1924/Arbejdstidsoversigt!$K$9*Stamoplysninger!$E$15*H43,H43*7.4*Stamoplysninger!$E$15)</f>
        <v>0</v>
      </c>
      <c r="J43" s="893"/>
      <c r="K43" s="894"/>
      <c r="L43" s="263"/>
      <c r="M43" s="846" t="s">
        <v>318</v>
      </c>
      <c r="N43" s="847"/>
      <c r="O43" s="847"/>
      <c r="P43" s="847"/>
      <c r="Q43" s="847"/>
      <c r="R43" s="847"/>
      <c r="S43" s="847"/>
      <c r="T43" s="847"/>
      <c r="U43" s="848"/>
      <c r="V43" s="990">
        <f>M73+S72+T72+M76+M80+M74+N73+N80</f>
        <v>0</v>
      </c>
      <c r="W43" s="990"/>
      <c r="X43" s="991"/>
      <c r="Y43" s="243"/>
      <c r="Z43" s="243"/>
      <c r="AD43" s="94"/>
      <c r="AE43" s="94"/>
      <c r="BM43" s="1"/>
      <c r="CJ43" s="1"/>
      <c r="CU43" s="253"/>
      <c r="CV43" s="253"/>
      <c r="CY43"/>
      <c r="CZ43"/>
    </row>
    <row r="44" spans="1:118">
      <c r="A44" s="879" t="str">
        <f>"Ferie "&amp;A7&amp;" måned"</f>
        <v>Ferie Marts måned</v>
      </c>
      <c r="B44" s="880"/>
      <c r="C44" s="880"/>
      <c r="D44" s="880"/>
      <c r="E44" s="880"/>
      <c r="F44" s="880"/>
      <c r="G44" s="880"/>
      <c r="H44" s="262" t="str">
        <f>IF(D73&gt;0,$D$73,"0")</f>
        <v>0</v>
      </c>
      <c r="I44" s="881">
        <f>H44*7.4*Stamoplysninger!$E$15</f>
        <v>0</v>
      </c>
      <c r="J44" s="882"/>
      <c r="K44" s="883"/>
      <c r="L44" s="263"/>
      <c r="M44" s="852" t="s">
        <v>262</v>
      </c>
      <c r="N44" s="853"/>
      <c r="O44" s="853"/>
      <c r="P44" s="853"/>
      <c r="Q44" s="853"/>
      <c r="R44" s="853"/>
      <c r="S44" s="853"/>
      <c r="T44" s="853"/>
      <c r="U44" s="854"/>
      <c r="V44" s="992">
        <f>M72+S71+T71+M75+M79+M71+N71+N79</f>
        <v>0</v>
      </c>
      <c r="W44" s="992"/>
      <c r="X44" s="993"/>
      <c r="Y44" s="243"/>
      <c r="Z44" s="243"/>
      <c r="AD44" s="94"/>
      <c r="AE44" s="94"/>
      <c r="BM44" s="1"/>
      <c r="CJ44" s="1"/>
      <c r="CU44" s="253"/>
      <c r="CV44" s="253"/>
      <c r="CY44"/>
      <c r="CZ44"/>
    </row>
    <row r="45" spans="1:118">
      <c r="A45" s="879" t="str">
        <f>"Søgnehelligdage i "&amp;A7&amp;" måned"</f>
        <v>Søgnehelligdage i Marts måned</v>
      </c>
      <c r="B45" s="880"/>
      <c r="C45" s="880"/>
      <c r="D45" s="880"/>
      <c r="E45" s="880"/>
      <c r="F45" s="880"/>
      <c r="G45" s="880"/>
      <c r="H45" s="262">
        <f>IF(D72&gt;0,D72,0)</f>
        <v>2</v>
      </c>
      <c r="I45" s="881">
        <f>H45*7.4*Stamoplysninger!$E$15</f>
        <v>0</v>
      </c>
      <c r="J45" s="882"/>
      <c r="K45" s="883"/>
      <c r="L45" s="264"/>
      <c r="M45" s="1034" t="s">
        <v>301</v>
      </c>
      <c r="N45" s="1035"/>
      <c r="O45" s="1035"/>
      <c r="P45" s="1035"/>
      <c r="Q45" s="1035"/>
      <c r="R45" s="1035"/>
      <c r="S45" s="1035"/>
      <c r="T45" s="1035"/>
      <c r="U45" s="1036"/>
      <c r="V45" s="1037">
        <f>Februar!V51</f>
        <v>0</v>
      </c>
      <c r="W45" s="1038"/>
      <c r="X45" s="1039"/>
      <c r="Y45" s="243"/>
      <c r="Z45" s="243"/>
      <c r="AD45" s="94"/>
      <c r="AE45" s="94"/>
      <c r="BM45" s="1"/>
      <c r="CJ45" s="1"/>
      <c r="CU45" s="253"/>
      <c r="CV45" s="253"/>
      <c r="CY45"/>
      <c r="CZ45"/>
    </row>
    <row r="46" spans="1:118">
      <c r="A46" s="879" t="str">
        <f>"Nettoarbejdstid ialt i "&amp;A7&amp;" måned"</f>
        <v>Nettoarbejdstid ialt i Marts måned</v>
      </c>
      <c r="B46" s="880"/>
      <c r="C46" s="880"/>
      <c r="D46" s="880"/>
      <c r="E46" s="880"/>
      <c r="F46" s="880"/>
      <c r="G46" s="880"/>
      <c r="H46" s="265">
        <f>H43-H44-H45</f>
        <v>19</v>
      </c>
      <c r="I46" s="881">
        <f>I43-I44-I45</f>
        <v>0</v>
      </c>
      <c r="J46" s="882"/>
      <c r="K46" s="883"/>
      <c r="L46" s="264"/>
      <c r="M46" s="862" t="s">
        <v>308</v>
      </c>
      <c r="N46" s="863"/>
      <c r="O46" s="863"/>
      <c r="P46" s="863"/>
      <c r="Q46" s="863"/>
      <c r="R46" s="863"/>
      <c r="S46" s="863"/>
      <c r="T46" s="863"/>
      <c r="U46" s="864"/>
      <c r="V46" s="865">
        <f>V44+V45</f>
        <v>0</v>
      </c>
      <c r="W46" s="866"/>
      <c r="X46" s="1040"/>
      <c r="Y46" s="243"/>
      <c r="Z46" s="243"/>
      <c r="AD46" s="94"/>
      <c r="AE46" s="94"/>
      <c r="BM46" s="1"/>
      <c r="CJ46" s="1"/>
      <c r="CU46" s="253"/>
      <c r="CV46" s="253"/>
      <c r="CY46"/>
      <c r="CZ46"/>
    </row>
    <row r="47" spans="1:118">
      <c r="A47" s="895" t="str">
        <f>"Planlagt arbejdstid efter ovennstående "&amp;A7&amp;" måned kalender"</f>
        <v>Planlagt arbejdstid efter ovennstående Marts måned kalender</v>
      </c>
      <c r="B47" s="896"/>
      <c r="C47" s="896"/>
      <c r="D47" s="896"/>
      <c r="E47" s="896"/>
      <c r="F47" s="896"/>
      <c r="G47" s="896"/>
      <c r="H47" s="521">
        <f>D64+D65+D66+D67+D68+D69+D70</f>
        <v>16</v>
      </c>
      <c r="I47" s="897">
        <f>N40+R40-J67</f>
        <v>0</v>
      </c>
      <c r="J47" s="834"/>
      <c r="K47" s="898"/>
      <c r="L47" s="414"/>
      <c r="M47" s="817" t="s">
        <v>299</v>
      </c>
      <c r="N47" s="818"/>
      <c r="O47" s="818"/>
      <c r="P47" s="818"/>
      <c r="Q47" s="818"/>
      <c r="R47" s="818"/>
      <c r="S47" s="818"/>
      <c r="T47" s="818"/>
      <c r="U47" s="818"/>
      <c r="V47" s="818"/>
      <c r="W47" s="818"/>
      <c r="X47" s="1032"/>
      <c r="Y47" s="243"/>
      <c r="Z47" s="243"/>
      <c r="AD47" s="94"/>
      <c r="AE47" s="94"/>
      <c r="BM47" s="1"/>
      <c r="CJ47" s="1"/>
      <c r="CU47" s="253"/>
      <c r="CV47" s="253"/>
      <c r="CY47"/>
      <c r="CZ47"/>
    </row>
    <row r="48" spans="1:118">
      <c r="A48" s="902" t="s">
        <v>492</v>
      </c>
      <c r="B48" s="903"/>
      <c r="C48" s="903"/>
      <c r="D48" s="903"/>
      <c r="E48" s="903"/>
      <c r="F48" s="903"/>
      <c r="G48" s="903"/>
      <c r="H48" s="904"/>
      <c r="I48" s="899">
        <f>(M71+M73+M81+M83+M77+M78+M82)*-1</f>
        <v>0</v>
      </c>
      <c r="J48" s="900"/>
      <c r="K48" s="901"/>
      <c r="L48" s="415"/>
      <c r="M48" s="820" t="s">
        <v>506</v>
      </c>
      <c r="N48" s="821"/>
      <c r="O48" s="821"/>
      <c r="P48" s="821"/>
      <c r="Q48" s="821"/>
      <c r="R48" s="821"/>
      <c r="S48" s="821"/>
      <c r="T48" s="821"/>
      <c r="U48" s="822"/>
      <c r="V48" s="823" t="s">
        <v>224</v>
      </c>
      <c r="W48" s="824"/>
      <c r="X48" s="1033"/>
      <c r="Y48" s="243"/>
      <c r="Z48" s="243"/>
      <c r="AD48" s="94"/>
      <c r="AE48" s="94"/>
      <c r="BM48" s="1"/>
      <c r="CJ48" s="1"/>
      <c r="CU48" s="253"/>
      <c r="CV48" s="253"/>
      <c r="CY48"/>
      <c r="CZ48"/>
    </row>
    <row r="49" spans="1:110">
      <c r="A49" s="837" t="str">
        <f>"Arbejde særligt planlagt for "&amp;A7&amp;" måned efter fanen skemaoplysninger"</f>
        <v>Arbejde særligt planlagt for Marts måned efter fanen skemaoplysninger</v>
      </c>
      <c r="B49" s="838"/>
      <c r="C49" s="838"/>
      <c r="D49" s="838"/>
      <c r="E49" s="838"/>
      <c r="F49" s="838"/>
      <c r="G49" s="838"/>
      <c r="H49" s="839"/>
      <c r="I49" s="834">
        <f>Skemaoplysninger!R91</f>
        <v>0</v>
      </c>
      <c r="J49" s="835"/>
      <c r="K49" s="836"/>
      <c r="L49" s="245"/>
      <c r="M49" s="805"/>
      <c r="N49" s="806"/>
      <c r="O49" s="806"/>
      <c r="P49" s="806"/>
      <c r="Q49" s="806"/>
      <c r="R49" s="806"/>
      <c r="S49" s="806"/>
      <c r="T49" s="806"/>
      <c r="U49" s="807"/>
      <c r="V49" s="826"/>
      <c r="W49" s="826"/>
      <c r="X49" s="827"/>
      <c r="Y49"/>
      <c r="Z49" s="243"/>
      <c r="AA49" s="243"/>
      <c r="AG49" s="94"/>
      <c r="AH49" s="94"/>
      <c r="BA49" s="243"/>
      <c r="BO49" s="1"/>
      <c r="CL49" s="1"/>
      <c r="CV49" s="253"/>
      <c r="CW49" s="253"/>
      <c r="CY49"/>
      <c r="CZ49"/>
    </row>
    <row r="50" spans="1:110">
      <c r="A50" s="884" t="s">
        <v>296</v>
      </c>
      <c r="B50" s="885"/>
      <c r="C50" s="885"/>
      <c r="D50" s="885"/>
      <c r="E50" s="885"/>
      <c r="F50" s="885"/>
      <c r="G50" s="885"/>
      <c r="H50" s="885"/>
      <c r="I50" s="1027">
        <f>V40+X40-N68-N66-P66</f>
        <v>0</v>
      </c>
      <c r="J50" s="899"/>
      <c r="K50" s="1028"/>
      <c r="L50" s="245"/>
      <c r="M50" s="805"/>
      <c r="N50" s="806"/>
      <c r="O50" s="806"/>
      <c r="P50" s="806"/>
      <c r="Q50" s="806"/>
      <c r="R50" s="806"/>
      <c r="S50" s="806"/>
      <c r="T50" s="806"/>
      <c r="U50" s="807"/>
      <c r="V50" s="808"/>
      <c r="W50" s="809"/>
      <c r="X50" s="810"/>
      <c r="Y50"/>
      <c r="Z50" s="243"/>
      <c r="AA50" s="243"/>
      <c r="AE50" s="94"/>
      <c r="AF50" s="252"/>
      <c r="AG50" s="94"/>
      <c r="BN50" s="1"/>
      <c r="CK50" s="1"/>
      <c r="CV50" s="253"/>
      <c r="CW50" s="253"/>
      <c r="CY50"/>
      <c r="CZ50"/>
    </row>
    <row r="51" spans="1:110" ht="17" thickBot="1">
      <c r="A51" s="266" t="str">
        <f>"Faktisk arbejdstid ialt i "&amp;A7&amp;" måned"</f>
        <v>Faktisk arbejdstid ialt i Marts måned</v>
      </c>
      <c r="B51" s="330"/>
      <c r="C51" s="331"/>
      <c r="D51" s="331"/>
      <c r="E51" s="331"/>
      <c r="F51" s="331"/>
      <c r="G51" s="331"/>
      <c r="H51" s="332"/>
      <c r="I51" s="840">
        <f>I47+I50+I49+I48</f>
        <v>0</v>
      </c>
      <c r="J51" s="841"/>
      <c r="K51" s="842"/>
      <c r="L51" s="245"/>
      <c r="M51" s="805"/>
      <c r="N51" s="806"/>
      <c r="O51" s="806"/>
      <c r="P51" s="806"/>
      <c r="Q51" s="806"/>
      <c r="R51" s="806"/>
      <c r="S51" s="806"/>
      <c r="T51" s="806"/>
      <c r="U51" s="807"/>
      <c r="V51" s="808"/>
      <c r="W51" s="809"/>
      <c r="X51" s="810"/>
      <c r="Y51" s="243"/>
      <c r="Z51" s="243"/>
      <c r="AA51" s="218"/>
      <c r="AB51" s="252"/>
      <c r="AC51" s="252"/>
      <c r="AD51" s="252"/>
      <c r="AE51" s="243"/>
      <c r="AF51" s="252"/>
      <c r="AH51" s="243"/>
      <c r="AI51" s="243"/>
      <c r="AM51" s="94"/>
      <c r="AN51" s="94"/>
      <c r="BU51" s="1"/>
      <c r="CR51" s="1"/>
      <c r="CY51"/>
      <c r="CZ51"/>
      <c r="DC51" s="253"/>
      <c r="DD51" s="253"/>
    </row>
    <row r="52" spans="1:110" ht="17" thickBot="1">
      <c r="A52" s="260"/>
      <c r="B52" s="260"/>
      <c r="C52" s="260"/>
      <c r="D52" s="260"/>
      <c r="E52" s="260"/>
      <c r="F52" s="260"/>
      <c r="G52" s="260"/>
      <c r="H52" s="260"/>
      <c r="I52" s="577"/>
      <c r="J52" s="577"/>
      <c r="K52" s="577"/>
      <c r="L52" s="551"/>
      <c r="M52" s="805"/>
      <c r="N52" s="806"/>
      <c r="O52" s="806"/>
      <c r="P52" s="806"/>
      <c r="Q52" s="806"/>
      <c r="R52" s="806"/>
      <c r="S52" s="806"/>
      <c r="T52" s="806"/>
      <c r="U52" s="807"/>
      <c r="V52" s="808"/>
      <c r="W52" s="809"/>
      <c r="X52" s="810"/>
      <c r="Y52" s="243"/>
      <c r="Z52" s="243"/>
      <c r="AA52" s="243"/>
      <c r="AB52" s="243"/>
      <c r="AC52" s="218"/>
      <c r="AD52" s="252"/>
      <c r="AE52" s="252"/>
      <c r="AF52" s="252"/>
      <c r="AG52" s="252"/>
      <c r="AH52" s="243"/>
      <c r="AJ52" s="243"/>
      <c r="AK52" s="243"/>
      <c r="AO52" s="94"/>
      <c r="AP52" s="94"/>
      <c r="BW52" s="1"/>
      <c r="CT52" s="1"/>
      <c r="CY52"/>
      <c r="CZ52"/>
      <c r="DE52" s="253"/>
      <c r="DF52" s="253"/>
    </row>
    <row r="53" spans="1:110" ht="35" thickBot="1">
      <c r="A53" s="875" t="s">
        <v>527</v>
      </c>
      <c r="B53" s="876"/>
      <c r="C53" s="876"/>
      <c r="D53" s="876"/>
      <c r="E53" s="876"/>
      <c r="F53" s="876"/>
      <c r="G53" s="876"/>
      <c r="H53" s="670" t="s">
        <v>614</v>
      </c>
      <c r="I53" s="876" t="s">
        <v>526</v>
      </c>
      <c r="J53" s="876"/>
      <c r="K53" s="878"/>
      <c r="L53" s="551"/>
      <c r="M53" s="811" t="s">
        <v>300</v>
      </c>
      <c r="N53" s="812"/>
      <c r="O53" s="812"/>
      <c r="P53" s="812"/>
      <c r="Q53" s="812"/>
      <c r="R53" s="812"/>
      <c r="S53" s="812"/>
      <c r="T53" s="812"/>
      <c r="U53" s="813"/>
      <c r="V53" s="1006">
        <f>V46-SUM(V49:X52)</f>
        <v>0</v>
      </c>
      <c r="W53" s="1007"/>
      <c r="X53" s="1008"/>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905"/>
      <c r="B54" s="906"/>
      <c r="C54" s="906"/>
      <c r="D54" s="906"/>
      <c r="E54" s="906"/>
      <c r="F54" s="906"/>
      <c r="G54" s="906"/>
      <c r="H54" s="666">
        <f>Februar!H60</f>
        <v>0</v>
      </c>
      <c r="I54" s="978">
        <f>Februar!I60</f>
        <v>0</v>
      </c>
      <c r="J54" s="978"/>
      <c r="K54" s="979"/>
      <c r="L54" s="551"/>
      <c r="M54" s="578"/>
      <c r="N54" s="578"/>
      <c r="O54" s="578"/>
      <c r="P54" s="578"/>
      <c r="Q54" s="579"/>
      <c r="R54" s="580"/>
      <c r="S54" s="580"/>
      <c r="T54" s="580"/>
      <c r="U54" s="580"/>
      <c r="V54" s="578"/>
      <c r="W54" s="581"/>
      <c r="X54" s="578"/>
      <c r="Y54" s="243"/>
      <c r="Z54" s="243"/>
      <c r="AA54" s="243"/>
      <c r="AB54" s="243"/>
      <c r="AC54" s="218"/>
      <c r="AD54" s="252"/>
      <c r="AE54" s="252"/>
      <c r="AF54" s="252"/>
      <c r="AG54" s="252"/>
      <c r="AH54" s="243"/>
      <c r="AJ54" s="243"/>
      <c r="AK54" s="243"/>
      <c r="AO54" s="94"/>
      <c r="AP54" s="94"/>
      <c r="BW54" s="1"/>
      <c r="CT54" s="1"/>
      <c r="CY54"/>
      <c r="CZ54"/>
      <c r="DE54" s="253"/>
      <c r="DF54" s="253"/>
    </row>
    <row r="55" spans="1:110" ht="16" customHeight="1">
      <c r="A55" s="1013" t="s">
        <v>530</v>
      </c>
      <c r="B55" s="1014"/>
      <c r="C55" s="1014"/>
      <c r="D55" s="1014"/>
      <c r="E55" s="1014"/>
      <c r="F55" s="1014"/>
      <c r="G55" s="1015"/>
      <c r="H55" s="664"/>
      <c r="I55" s="1016"/>
      <c r="J55" s="1017"/>
      <c r="K55" s="1018"/>
      <c r="L55" s="551"/>
      <c r="M55" s="578"/>
      <c r="N55" s="578"/>
      <c r="O55" s="578"/>
      <c r="P55" s="578"/>
      <c r="Q55" s="579"/>
      <c r="R55" s="580"/>
      <c r="S55" s="580"/>
      <c r="T55" s="580"/>
      <c r="U55" s="580"/>
      <c r="V55" s="578"/>
      <c r="W55" s="581"/>
      <c r="X55" s="578"/>
      <c r="Y55" s="243"/>
      <c r="Z55" s="243"/>
      <c r="AA55" s="243"/>
      <c r="AB55" s="243"/>
      <c r="AC55" s="218"/>
      <c r="AD55" s="252"/>
      <c r="AE55" s="252"/>
      <c r="AF55" s="252"/>
      <c r="AG55" s="252"/>
      <c r="AH55" s="243"/>
      <c r="AJ55" s="243"/>
      <c r="AK55" s="243"/>
      <c r="AO55" s="94"/>
      <c r="AP55" s="94"/>
      <c r="BW55" s="1"/>
      <c r="CT55" s="1"/>
      <c r="CY55"/>
      <c r="CZ55"/>
      <c r="DE55" s="253"/>
      <c r="DF55" s="253"/>
    </row>
    <row r="56" spans="1:110" ht="37" customHeight="1">
      <c r="A56" s="802" t="s">
        <v>616</v>
      </c>
      <c r="B56" s="803"/>
      <c r="C56" s="803"/>
      <c r="D56" s="803"/>
      <c r="E56" s="803"/>
      <c r="F56" s="803"/>
      <c r="G56" s="803"/>
      <c r="H56" s="803"/>
      <c r="I56" s="803"/>
      <c r="J56" s="803"/>
      <c r="K56" s="804"/>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0" ht="35" customHeight="1">
      <c r="A57" s="907" t="s">
        <v>615</v>
      </c>
      <c r="B57" s="908"/>
      <c r="C57" s="958" t="s">
        <v>566</v>
      </c>
      <c r="D57" s="959"/>
      <c r="E57" s="960" t="s">
        <v>567</v>
      </c>
      <c r="F57" s="803"/>
      <c r="G57" s="961"/>
      <c r="H57" s="970" t="s">
        <v>528</v>
      </c>
      <c r="I57" s="970"/>
      <c r="J57" s="970"/>
      <c r="K57" s="971"/>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0">
      <c r="A58" s="962"/>
      <c r="B58" s="963"/>
      <c r="C58" s="966"/>
      <c r="D58" s="965"/>
      <c r="E58" s="967"/>
      <c r="F58" s="968"/>
      <c r="G58" s="969"/>
      <c r="H58" s="665"/>
      <c r="I58" s="956"/>
      <c r="J58" s="956"/>
      <c r="K58" s="957"/>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0">
      <c r="A59" s="964"/>
      <c r="B59" s="965"/>
      <c r="C59" s="966"/>
      <c r="D59" s="965"/>
      <c r="E59" s="967"/>
      <c r="F59" s="968"/>
      <c r="G59" s="969"/>
      <c r="H59" s="665"/>
      <c r="I59" s="956"/>
      <c r="J59" s="956"/>
      <c r="K59" s="957"/>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0">
      <c r="A60" s="964"/>
      <c r="B60" s="965"/>
      <c r="C60" s="966"/>
      <c r="D60" s="965"/>
      <c r="E60" s="967"/>
      <c r="F60" s="968"/>
      <c r="G60" s="969"/>
      <c r="H60" s="665"/>
      <c r="I60" s="956"/>
      <c r="J60" s="956"/>
      <c r="K60" s="957"/>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0">
      <c r="A61" s="964"/>
      <c r="B61" s="965"/>
      <c r="C61" s="966"/>
      <c r="D61" s="965"/>
      <c r="E61" s="967"/>
      <c r="F61" s="968"/>
      <c r="G61" s="969"/>
      <c r="H61" s="665"/>
      <c r="I61" s="956"/>
      <c r="J61" s="956"/>
      <c r="K61" s="957"/>
      <c r="L61" s="551"/>
      <c r="M61" s="578"/>
      <c r="N61" s="578"/>
      <c r="O61" s="578"/>
      <c r="P61" s="578"/>
      <c r="Q61" s="579"/>
      <c r="R61" s="580"/>
      <c r="S61" s="580"/>
      <c r="T61" s="580"/>
      <c r="U61" s="580"/>
      <c r="V61" s="578"/>
      <c r="W61" s="581"/>
      <c r="X61" s="578"/>
      <c r="Y61" s="243"/>
      <c r="Z61" s="243"/>
      <c r="AA61" s="243"/>
      <c r="AB61" s="243"/>
      <c r="AC61" s="218"/>
      <c r="AD61" s="252"/>
      <c r="AE61" s="252"/>
      <c r="AF61" s="252"/>
      <c r="AG61" s="252"/>
      <c r="AH61" s="243"/>
      <c r="AJ61" s="243"/>
      <c r="AK61" s="243"/>
      <c r="AO61" s="94"/>
      <c r="AP61" s="94"/>
      <c r="BW61" s="1"/>
      <c r="CT61" s="1"/>
      <c r="CY61"/>
      <c r="CZ61"/>
      <c r="DE61" s="253"/>
      <c r="DF61" s="253"/>
    </row>
    <row r="62" spans="1:110" ht="17" thickBot="1">
      <c r="A62" s="953" t="s">
        <v>529</v>
      </c>
      <c r="B62" s="954"/>
      <c r="C62" s="955"/>
      <c r="D62" s="955"/>
      <c r="E62" s="955"/>
      <c r="F62" s="955"/>
      <c r="G62" s="955"/>
      <c r="H62" s="667">
        <f>H55+H54-SUM(H58:H61)</f>
        <v>0</v>
      </c>
      <c r="I62" s="950">
        <f>I54+I55-SUM(I58:K61)</f>
        <v>0</v>
      </c>
      <c r="J62" s="951"/>
      <c r="K62" s="952"/>
      <c r="L62" s="551"/>
      <c r="M62" s="578"/>
      <c r="N62" s="578"/>
      <c r="O62" s="578"/>
      <c r="P62" s="578"/>
      <c r="Q62" s="579"/>
      <c r="R62" s="580"/>
      <c r="S62" s="580"/>
      <c r="T62" s="580"/>
      <c r="U62" s="580"/>
      <c r="V62" s="578"/>
      <c r="W62" s="581"/>
      <c r="X62" s="578"/>
      <c r="Y62" s="243"/>
      <c r="Z62" s="243"/>
      <c r="AA62" s="243"/>
      <c r="AB62" s="243"/>
      <c r="AC62" s="218"/>
      <c r="AD62" s="252"/>
      <c r="AE62" s="252"/>
      <c r="AF62" s="252"/>
      <c r="AG62" s="252"/>
      <c r="AH62" s="243"/>
      <c r="AJ62" s="243"/>
      <c r="AK62" s="243"/>
      <c r="AO62" s="94"/>
      <c r="AP62" s="94"/>
      <c r="BW62" s="1"/>
      <c r="CT62" s="1"/>
      <c r="CY62"/>
      <c r="CZ62"/>
      <c r="DE62" s="253"/>
      <c r="DF62" s="253"/>
    </row>
    <row r="63" spans="1:110">
      <c r="A63" s="260"/>
      <c r="B63" s="260"/>
      <c r="C63" s="260"/>
      <c r="D63" s="260"/>
      <c r="E63" s="260"/>
      <c r="F63" s="260"/>
      <c r="G63" s="260"/>
      <c r="H63" s="250"/>
      <c r="I63" s="127"/>
      <c r="J63" s="127"/>
      <c r="K63" s="268" t="s">
        <v>297</v>
      </c>
      <c r="L63" s="245"/>
      <c r="M63" s="243"/>
      <c r="N63" s="243"/>
      <c r="O63" s="218"/>
      <c r="P63" s="252"/>
      <c r="Q63" s="252"/>
      <c r="R63" s="252"/>
      <c r="S63" s="243"/>
      <c r="T63" s="252"/>
      <c r="V63" s="243"/>
      <c r="W63" s="243"/>
      <c r="Y63"/>
      <c r="Z63"/>
      <c r="AA63" s="94"/>
      <c r="AB63" s="94"/>
      <c r="BI63" s="1"/>
      <c r="CF63" s="1"/>
      <c r="CQ63" s="253"/>
      <c r="CR63" s="253"/>
      <c r="CY63"/>
      <c r="CZ63"/>
    </row>
    <row r="64" spans="1:110" hidden="1">
      <c r="A64" s="127" t="s">
        <v>209</v>
      </c>
      <c r="B64" s="127"/>
      <c r="C64" s="127"/>
      <c r="D64" s="127">
        <f>COUNTIF([0]!Marts,"Skema 1")</f>
        <v>16</v>
      </c>
      <c r="E64" s="422"/>
      <c r="F64" s="127" t="s">
        <v>189</v>
      </c>
      <c r="G64" s="127">
        <f>COUNTIFS($B$9:$B$39,"ma",[0]!Marts,"Skema 1")</f>
        <v>3</v>
      </c>
      <c r="H64" s="127"/>
      <c r="I64" s="127"/>
      <c r="J64" s="352"/>
      <c r="K64" s="245"/>
      <c r="L64" s="245"/>
      <c r="M64" s="243"/>
      <c r="N64" s="243"/>
      <c r="O64" s="218"/>
      <c r="P64" s="252"/>
      <c r="Q64" s="252"/>
      <c r="R64" s="252"/>
      <c r="S64" s="243"/>
      <c r="T64" s="252"/>
      <c r="V64" s="243"/>
      <c r="W64" s="243"/>
      <c r="Y64"/>
      <c r="Z64"/>
      <c r="AA64" s="94"/>
      <c r="AB64" s="94"/>
      <c r="BI64" s="1"/>
      <c r="CF64" s="1"/>
      <c r="CQ64" s="253"/>
      <c r="CR64" s="253"/>
      <c r="CY64"/>
      <c r="CZ64"/>
    </row>
    <row r="65" spans="1:109" hidden="1">
      <c r="A65" s="972" t="s">
        <v>210</v>
      </c>
      <c r="B65" s="972"/>
      <c r="C65" s="972"/>
      <c r="D65" s="547">
        <f>COUNTIF([0]!Marts,"Skema 2")</f>
        <v>0</v>
      </c>
      <c r="E65" s="549"/>
      <c r="F65" s="547" t="s">
        <v>190</v>
      </c>
      <c r="G65" s="547">
        <f>COUNTIFS($B$9:$B$39,"ti",[0]!Marts,"Skema 1")</f>
        <v>3</v>
      </c>
      <c r="H65" s="547"/>
      <c r="I65" s="547"/>
      <c r="J65" s="550"/>
      <c r="K65" s="551"/>
      <c r="L65" s="354"/>
      <c r="M65" s="243"/>
      <c r="N65" s="243"/>
      <c r="O65" s="218"/>
      <c r="P65" s="252"/>
      <c r="Q65" s="252"/>
      <c r="R65" s="252"/>
      <c r="S65" s="243"/>
      <c r="T65" s="252"/>
      <c r="V65" s="243"/>
      <c r="W65" s="243"/>
      <c r="Y65"/>
      <c r="Z65"/>
      <c r="AA65" s="94"/>
      <c r="AB65" s="94"/>
      <c r="BI65" s="1"/>
      <c r="CF65" s="1"/>
      <c r="CQ65" s="253"/>
      <c r="CR65" s="253"/>
      <c r="CY65"/>
      <c r="CZ65"/>
    </row>
    <row r="66" spans="1:109" hidden="1">
      <c r="A66" s="972" t="s">
        <v>211</v>
      </c>
      <c r="B66" s="972"/>
      <c r="C66" s="972"/>
      <c r="D66" s="547">
        <f>COUNTIF([0]!Marts,"Skema 3")</f>
        <v>0</v>
      </c>
      <c r="E66" s="549"/>
      <c r="F66" s="547" t="s">
        <v>191</v>
      </c>
      <c r="G66" s="547">
        <f>COUNTIFS($B$9:$B$39,"on",[0]!Marts,"Skema 1")</f>
        <v>3</v>
      </c>
      <c r="H66" s="547"/>
      <c r="I66" s="547"/>
      <c r="J66" s="550"/>
      <c r="K66" s="551"/>
      <c r="L66" s="477"/>
      <c r="M66" s="243"/>
      <c r="N66" s="550">
        <f>IF($C$9="Ikke relevant",V9,0)+IF($C$10="Ikke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relevant",V37,0)+IF($C$38="Ikke relevant",V38,0)+IF($C$39="Ikke relevant",V39,0)</f>
        <v>0</v>
      </c>
      <c r="O66" s="550">
        <f t="shared" ref="O66:P66" si="34">IF($C$9="Ikke relevant",W9,0)+IF($C$10="Ikke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relevant",W37,0)+IF($C$38="Ikke relevant",W38,0)+IF($C$39="Ikke relevant",W39,0)</f>
        <v>0</v>
      </c>
      <c r="P66" s="550">
        <f t="shared" si="34"/>
        <v>0</v>
      </c>
      <c r="Q66" s="579" t="s">
        <v>622</v>
      </c>
      <c r="R66" s="252"/>
      <c r="S66" s="243"/>
      <c r="T66" s="252"/>
      <c r="V66" s="243"/>
      <c r="W66" s="243"/>
      <c r="Y66"/>
      <c r="Z66"/>
      <c r="AA66" s="94"/>
      <c r="AB66" s="94"/>
      <c r="BI66" s="1"/>
      <c r="CF66" s="1"/>
      <c r="CQ66" s="253"/>
      <c r="CR66" s="253"/>
      <c r="CY66"/>
      <c r="CZ66"/>
    </row>
    <row r="67" spans="1:109" hidden="1">
      <c r="A67" s="972" t="s">
        <v>212</v>
      </c>
      <c r="B67" s="972"/>
      <c r="C67" s="972"/>
      <c r="D67" s="547">
        <f>COUNTIF([0]!Marts,"Skema 4")</f>
        <v>0</v>
      </c>
      <c r="E67" s="549"/>
      <c r="F67" s="547" t="s">
        <v>193</v>
      </c>
      <c r="G67" s="547">
        <f>COUNTIFS($B$9:$B$39,"to",[0]!Marts,"Skema 1")</f>
        <v>3</v>
      </c>
      <c r="H67" s="547"/>
      <c r="I67" s="547" t="s">
        <v>496</v>
      </c>
      <c r="J67" s="550">
        <f>IF(C9="Ikke relevant",R9,0)+IF(C10="Ikke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K67" s="552"/>
      <c r="L67" s="477"/>
      <c r="M67" s="470" t="s">
        <v>327</v>
      </c>
      <c r="N67" s="470" t="s">
        <v>423</v>
      </c>
      <c r="O67" s="260"/>
      <c r="P67" s="260"/>
      <c r="Q67" s="260"/>
      <c r="R67" s="260"/>
      <c r="S67" s="260"/>
      <c r="T67" s="260"/>
      <c r="U67" s="260"/>
      <c r="V67" s="260"/>
      <c r="W67" s="260"/>
      <c r="X67" s="260"/>
      <c r="Y67" s="243"/>
      <c r="Z67" s="243"/>
      <c r="AA67" s="243"/>
      <c r="AB67" s="218"/>
      <c r="AC67" s="252"/>
      <c r="AD67" s="252"/>
      <c r="AE67" s="252"/>
      <c r="AF67" s="218"/>
      <c r="AG67" s="243"/>
      <c r="AI67" s="243"/>
      <c r="AJ67" s="243"/>
      <c r="AN67" s="94"/>
      <c r="AO67" s="94"/>
      <c r="BV67" s="1"/>
      <c r="CS67" s="1"/>
      <c r="CY67"/>
      <c r="CZ67"/>
      <c r="DD67" s="253"/>
      <c r="DE67" s="253"/>
    </row>
    <row r="68" spans="1:109" hidden="1">
      <c r="A68" s="547" t="s">
        <v>113</v>
      </c>
      <c r="B68" s="547"/>
      <c r="C68" s="547"/>
      <c r="D68" s="547">
        <f>COUNTIF([0]!Marts,"Fagdag")+COUNTIF([0]!Marts,"emnedag")</f>
        <v>0</v>
      </c>
      <c r="E68" s="549"/>
      <c r="F68" s="547" t="s">
        <v>192</v>
      </c>
      <c r="G68" s="547">
        <f>COUNTIFS($B$9:$B$39,"fr",[0]!Marts,"Skema 1")</f>
        <v>4</v>
      </c>
      <c r="H68" s="547"/>
      <c r="I68" s="552" t="s">
        <v>329</v>
      </c>
      <c r="J68" s="550"/>
      <c r="K68" s="552"/>
      <c r="L68" s="477"/>
      <c r="M68" s="463">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68" s="463">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68" s="463"/>
      <c r="P68" s="354"/>
      <c r="Q68" s="465" t="s">
        <v>331</v>
      </c>
      <c r="R68" s="234"/>
      <c r="S68" s="234"/>
      <c r="T68" s="234" t="s">
        <v>332</v>
      </c>
      <c r="U68" s="234"/>
      <c r="V68" s="234"/>
      <c r="W68" s="122"/>
      <c r="X68" s="122"/>
      <c r="Y68" s="243"/>
      <c r="Z68" s="243"/>
      <c r="AA68" s="243"/>
      <c r="AB68" s="218"/>
      <c r="AC68" s="252"/>
      <c r="AD68" s="252"/>
      <c r="AE68" s="252"/>
      <c r="AF68" s="218"/>
      <c r="AG68" s="243"/>
      <c r="AI68" s="243"/>
      <c r="AJ68" s="243"/>
      <c r="AN68" s="94"/>
      <c r="AO68" s="94"/>
      <c r="BV68" s="1"/>
      <c r="CS68" s="1"/>
      <c r="CY68"/>
      <c r="CZ68"/>
      <c r="DD68" s="253"/>
      <c r="DE68" s="253"/>
    </row>
    <row r="69" spans="1:109" hidden="1">
      <c r="A69" s="553" t="s">
        <v>112</v>
      </c>
      <c r="B69" s="547"/>
      <c r="C69" s="547"/>
      <c r="D69" s="547">
        <f>COUNTIF([0]!Marts,"Lejrskole")+COUNTIF([0]!Marts,"Ekskursion")</f>
        <v>0</v>
      </c>
      <c r="E69" s="549"/>
      <c r="F69" s="547"/>
      <c r="G69" s="547"/>
      <c r="H69" s="547"/>
      <c r="I69" s="552" t="s">
        <v>343</v>
      </c>
      <c r="J69" s="550"/>
      <c r="K69" s="552"/>
      <c r="L69" s="477"/>
      <c r="M69" s="463">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69" s="463">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69" s="464">
        <v>0.5</v>
      </c>
      <c r="P69" s="354"/>
      <c r="Q69" s="465" t="s">
        <v>328</v>
      </c>
      <c r="R69" s="234"/>
      <c r="S69" s="234"/>
      <c r="T69" s="234"/>
      <c r="U69" s="234"/>
      <c r="V69" s="234"/>
      <c r="W69" s="122"/>
      <c r="X69" s="122"/>
      <c r="Y69" s="243"/>
      <c r="Z69" s="243"/>
      <c r="AA69" s="243"/>
      <c r="AB69" s="218"/>
      <c r="AC69" s="252"/>
      <c r="AD69" s="252"/>
      <c r="AE69" s="252"/>
      <c r="AF69" s="218"/>
      <c r="AG69" s="243"/>
      <c r="AI69" s="243"/>
      <c r="AJ69" s="243"/>
      <c r="AN69" s="94"/>
      <c r="AO69" s="94"/>
      <c r="BV69" s="1"/>
      <c r="CS69" s="1"/>
      <c r="CY69"/>
      <c r="CZ69"/>
      <c r="DD69" s="253"/>
      <c r="DE69" s="253"/>
    </row>
    <row r="70" spans="1:109" hidden="1">
      <c r="A70" s="547" t="s">
        <v>111</v>
      </c>
      <c r="B70" s="547"/>
      <c r="C70" s="547"/>
      <c r="D70" s="547">
        <f>COUNTIF([0]!Marts,"Pæd.dag")</f>
        <v>0</v>
      </c>
      <c r="E70" s="549"/>
      <c r="F70" s="547" t="s">
        <v>194</v>
      </c>
      <c r="G70" s="547">
        <f>COUNTIFS($B$9:$B$39,"ma",[0]!Marts,"Skema 2")</f>
        <v>0</v>
      </c>
      <c r="H70" s="547"/>
      <c r="I70" s="547" t="s">
        <v>342</v>
      </c>
      <c r="J70" s="550"/>
      <c r="K70" s="552"/>
      <c r="L70" s="477"/>
      <c r="M70" s="463">
        <f>SUM(M68:M69)</f>
        <v>0</v>
      </c>
      <c r="N70" s="463">
        <f>SUM(N68:N69)</f>
        <v>0</v>
      </c>
      <c r="O70" s="463">
        <f>(M70+N70)/2</f>
        <v>0</v>
      </c>
      <c r="P70" s="354">
        <f>SUM(M70:O70)</f>
        <v>0</v>
      </c>
      <c r="Q70" s="465">
        <f>(M70+N70)*25%</f>
        <v>0</v>
      </c>
      <c r="R70" s="234"/>
      <c r="S70" s="234"/>
      <c r="T70" s="234"/>
      <c r="U70" s="234"/>
      <c r="V70" s="234"/>
      <c r="W70" s="122"/>
      <c r="X70" s="122"/>
      <c r="Y70" s="243"/>
      <c r="Z70" s="243"/>
      <c r="AA70" s="243"/>
      <c r="AB70" s="218"/>
      <c r="AC70" s="252"/>
      <c r="AD70" s="252"/>
      <c r="AE70" s="252"/>
      <c r="AG70" s="243"/>
      <c r="AI70" s="243"/>
      <c r="AJ70" s="243"/>
      <c r="AN70" s="94"/>
      <c r="AO70" s="94"/>
      <c r="BV70" s="1"/>
      <c r="CS70" s="1"/>
      <c r="CY70"/>
      <c r="CZ70"/>
      <c r="DD70" s="253"/>
      <c r="DE70" s="253"/>
    </row>
    <row r="71" spans="1:109" hidden="1">
      <c r="A71" s="547" t="s">
        <v>121</v>
      </c>
      <c r="B71" s="547"/>
      <c r="C71" s="547"/>
      <c r="D71" s="547">
        <f>COUNTIF([0]!Marts,"Weekend")</f>
        <v>10</v>
      </c>
      <c r="E71" s="549"/>
      <c r="F71" s="547" t="s">
        <v>195</v>
      </c>
      <c r="G71" s="547">
        <f>COUNTIFS($B$9:$B$39,"ti",[0]!Marts,"Skema 2")</f>
        <v>0</v>
      </c>
      <c r="H71" s="547"/>
      <c r="I71" s="547" t="s">
        <v>482</v>
      </c>
      <c r="J71" s="550"/>
      <c r="K71" s="552"/>
      <c r="L71" s="512"/>
      <c r="M71" s="513">
        <f>IF(Stamoplysninger!$B$26="Weekendtimer og weekendtillæg afspadseres.",M68,0)</f>
        <v>0</v>
      </c>
      <c r="N71" s="513">
        <f>IF(Stamoplysninger!$B$26="Weekendtimer og weekendtillæg afspadseres.",N68,0)</f>
        <v>0</v>
      </c>
      <c r="O71" s="463"/>
      <c r="P71" s="354"/>
      <c r="Q71" s="465" t="s">
        <v>333</v>
      </c>
      <c r="R71" s="234"/>
      <c r="S71" s="234">
        <f>IF(Stamoplysninger!B22="Ulempetillæg afspadseres med 25%(Kræver en aftale imellem ledelsen og den ansatte)",Q70,0)</f>
        <v>0</v>
      </c>
      <c r="T71" s="234">
        <f>IF(Stamoplysninger!B22="Ulempetillæg afspadseres med 25%(Kræver en aftale imellem ledelsen og den ansatte)",(R40+X40)*0.25,0)</f>
        <v>0</v>
      </c>
      <c r="U71" s="234"/>
      <c r="V71" s="234"/>
      <c r="W71" s="122"/>
      <c r="X71" s="122"/>
      <c r="Y71"/>
      <c r="Z71"/>
      <c r="AM71" s="1"/>
      <c r="BJ71" s="1"/>
      <c r="BU71" s="253"/>
      <c r="BV71" s="253"/>
      <c r="CY71"/>
      <c r="CZ71"/>
    </row>
    <row r="72" spans="1:109" hidden="1">
      <c r="A72" s="547" t="s">
        <v>128</v>
      </c>
      <c r="B72" s="547"/>
      <c r="C72" s="547"/>
      <c r="D72" s="547">
        <f>COUNTIF([0]!Marts,"SH-dag")</f>
        <v>2</v>
      </c>
      <c r="E72" s="549"/>
      <c r="F72" s="547" t="s">
        <v>196</v>
      </c>
      <c r="G72" s="547">
        <f>COUNTIFS($B$9:$B$39,"on",[0]!Marts,"Skema 2")</f>
        <v>0</v>
      </c>
      <c r="H72" s="547"/>
      <c r="I72" s="554" t="s">
        <v>483</v>
      </c>
      <c r="J72" s="554"/>
      <c r="K72" s="554"/>
      <c r="L72" s="519"/>
      <c r="M72" s="513">
        <f>IF(Stamoplysninger!$B$26="Weekendtimer og weekendtillæg afspadseres.",O70,0)</f>
        <v>0</v>
      </c>
      <c r="N72" s="513">
        <f>IF(Stamoplysninger!$B$26="Weekendtimer og weekendtillæg afspadseres.",O70,0)</f>
        <v>0</v>
      </c>
      <c r="O72" s="463"/>
      <c r="P72" s="354"/>
      <c r="Q72" s="465" t="s">
        <v>330</v>
      </c>
      <c r="R72" s="234"/>
      <c r="S72" s="234">
        <f>IF(Stamoplysninger!B22="Ulempetillæg udbetales med 25% af nettotimelønnen.",Q70,0)</f>
        <v>0</v>
      </c>
      <c r="T72" s="234">
        <f>IF(Stamoplysninger!B22="Ulempetillæg udbetales med 25% af nettotimelønnen.",(R40+X40)*0.25,0)</f>
        <v>0</v>
      </c>
      <c r="U72" s="234"/>
      <c r="V72" s="234"/>
      <c r="W72" s="122"/>
      <c r="X72" s="122"/>
      <c r="Y72"/>
      <c r="Z72"/>
      <c r="AM72" s="1"/>
      <c r="BJ72" s="1"/>
      <c r="BU72" s="253"/>
      <c r="BV72" s="253"/>
      <c r="CY72"/>
      <c r="CZ72"/>
    </row>
    <row r="73" spans="1:109" hidden="1">
      <c r="A73" s="547" t="s">
        <v>110</v>
      </c>
      <c r="B73" s="547"/>
      <c r="C73" s="547"/>
      <c r="D73" s="547">
        <f>COUNTIF([0]!Marts,"Feriedag")</f>
        <v>0</v>
      </c>
      <c r="E73" s="549"/>
      <c r="F73" s="547" t="s">
        <v>197</v>
      </c>
      <c r="G73" s="547">
        <f>COUNTIFS($B$9:$B$39,"to",[0]!Marts,"Skema 2")</f>
        <v>0</v>
      </c>
      <c r="H73" s="547"/>
      <c r="I73" s="554" t="s">
        <v>484</v>
      </c>
      <c r="J73" s="554"/>
      <c r="K73" s="554"/>
      <c r="L73" s="520"/>
      <c r="M73" s="514">
        <f>IF(Stamoplysninger!$B$26="Weekendtimer og weekendtillæg udbetales.",M68,0)</f>
        <v>0</v>
      </c>
      <c r="N73" s="514">
        <f>IF(Stamoplysninger!$B$26="Weekendtimer og weekendtillæg udbetales.",N68,0)</f>
        <v>0</v>
      </c>
      <c r="O73" s="463"/>
      <c r="P73" s="354"/>
      <c r="Q73" s="465"/>
      <c r="R73" s="234"/>
      <c r="S73" s="234"/>
      <c r="T73" s="234"/>
      <c r="U73" s="234"/>
      <c r="V73" s="234"/>
      <c r="W73" s="122"/>
      <c r="X73" s="122"/>
      <c r="Y73"/>
      <c r="Z73"/>
      <c r="AM73" s="1"/>
      <c r="BJ73" s="1"/>
      <c r="BU73" s="253"/>
      <c r="BV73" s="253"/>
      <c r="CY73"/>
      <c r="CZ73"/>
    </row>
    <row r="74" spans="1:109" hidden="1">
      <c r="A74" s="547" t="s">
        <v>181</v>
      </c>
      <c r="B74" s="547"/>
      <c r="C74" s="547"/>
      <c r="D74" s="547">
        <f>COUNTIF([0]!Marts,"Nul-dag")</f>
        <v>3</v>
      </c>
      <c r="E74" s="549"/>
      <c r="F74" s="547" t="s">
        <v>198</v>
      </c>
      <c r="G74" s="547">
        <f>COUNTIFS($B$9:$B$39,"fr",[0]!Marts,"Skema 2")</f>
        <v>0</v>
      </c>
      <c r="H74" s="547"/>
      <c r="I74" s="554" t="s">
        <v>485</v>
      </c>
      <c r="J74" s="554"/>
      <c r="K74" s="554"/>
      <c r="L74" s="520"/>
      <c r="M74" s="514">
        <f>IF(Stamoplysninger!$B$26="Weekendtimer og weekendtillæg udbetales.",O70,0)</f>
        <v>0</v>
      </c>
      <c r="N74" s="514">
        <f>IF(Stamoplysninger!$B$26="Weekendtimer og weekendtillæg udbetales.",O70,0)</f>
        <v>0</v>
      </c>
      <c r="O74" s="463"/>
      <c r="P74" s="354"/>
      <c r="Q74" s="465"/>
      <c r="R74" s="234"/>
      <c r="S74" s="234"/>
      <c r="T74" s="234"/>
      <c r="U74" s="234"/>
      <c r="V74" s="234"/>
      <c r="W74" s="122"/>
      <c r="X74" s="122"/>
      <c r="Y74"/>
      <c r="Z74"/>
      <c r="AM74" s="1"/>
      <c r="BJ74" s="1"/>
      <c r="BU74" s="253"/>
      <c r="BV74" s="253"/>
      <c r="CY74"/>
      <c r="CZ74"/>
    </row>
    <row r="75" spans="1:109" hidden="1">
      <c r="A75" s="547" t="s">
        <v>444</v>
      </c>
      <c r="B75" s="547"/>
      <c r="C75" s="547"/>
      <c r="D75" s="547">
        <f>COUNTIF([0]!Marts,"Orlov")</f>
        <v>0</v>
      </c>
      <c r="E75" s="549"/>
      <c r="F75" s="556"/>
      <c r="G75" s="556"/>
      <c r="H75" s="556"/>
      <c r="I75" s="554" t="s">
        <v>334</v>
      </c>
      <c r="J75" s="554"/>
      <c r="K75" s="554"/>
      <c r="L75" s="516"/>
      <c r="M75" s="515">
        <f>IF(Stamoplysninger!$B$26="Der er indgået lokalaftale omkring weekendtimer.(Kræver aftale med TR/FSL) Weekendtillæg afspadseres.",O70,0)</f>
        <v>0</v>
      </c>
      <c r="N75" s="515">
        <f>IF(Stamoplysninger!$B$26="Der er indgået lokalaftale omkring weekendtimer.(Kræver aftale med TR/FSL) Weekendtillæg afspadseres.",N68,0)</f>
        <v>0</v>
      </c>
      <c r="O75" s="463"/>
      <c r="P75" s="354"/>
      <c r="Q75" s="465"/>
      <c r="R75" s="234"/>
      <c r="S75" s="234"/>
      <c r="T75" s="234"/>
      <c r="U75" s="234"/>
      <c r="V75" s="234"/>
      <c r="W75" s="122"/>
      <c r="X75" s="122"/>
      <c r="Y75"/>
      <c r="Z75"/>
      <c r="AM75" s="1"/>
      <c r="BJ75" s="1"/>
      <c r="BU75" s="253"/>
      <c r="BV75" s="253"/>
      <c r="CY75"/>
      <c r="CZ75"/>
    </row>
    <row r="76" spans="1:109" hidden="1">
      <c r="A76" s="547" t="s">
        <v>161</v>
      </c>
      <c r="B76" s="547"/>
      <c r="C76" s="547"/>
      <c r="D76" s="547">
        <f>COUNTIF([0]!Marts,"Ikke relevant")</f>
        <v>0</v>
      </c>
      <c r="E76" s="549"/>
      <c r="F76" s="547" t="s">
        <v>199</v>
      </c>
      <c r="G76" s="547">
        <f>COUNTIFS($B$9:$B$39,"ma",[0]!Marts,"Skema 3")</f>
        <v>0</v>
      </c>
      <c r="H76" s="547">
        <v>1</v>
      </c>
      <c r="I76" s="554" t="s">
        <v>335</v>
      </c>
      <c r="J76" s="554"/>
      <c r="K76" s="554"/>
      <c r="L76" s="516"/>
      <c r="M76" s="515">
        <f>IF(Stamoplysninger!$B$26="Der er indgået lokalaftale omkring weekendtimer(Kræver aftale med TR/FSL). Weekendtillæg udbetales.",O70,0)</f>
        <v>0</v>
      </c>
      <c r="N76" s="515">
        <f>IF(Stamoplysninger!$B$26="Der er indgået lokalaftale omkring weekendtimer(Kræver aftale med TR/FSL). Weekendtillæg udbetales.",N68,0)</f>
        <v>0</v>
      </c>
      <c r="O76" s="463"/>
      <c r="P76" s="354"/>
      <c r="Q76" s="465"/>
      <c r="R76" s="234"/>
      <c r="S76" s="234"/>
      <c r="T76" s="234"/>
      <c r="U76" s="234"/>
      <c r="V76" s="234"/>
      <c r="W76" s="122"/>
      <c r="X76" s="122"/>
      <c r="Y76"/>
      <c r="Z76"/>
      <c r="AM76" s="1"/>
      <c r="BJ76" s="1"/>
      <c r="BU76" s="253"/>
      <c r="BV76" s="253"/>
      <c r="CY76"/>
      <c r="CZ76"/>
    </row>
    <row r="77" spans="1:109" hidden="1">
      <c r="A77" s="547" t="s">
        <v>109</v>
      </c>
      <c r="B77" s="547"/>
      <c r="C77" s="547"/>
      <c r="D77" s="547">
        <f>SUM(D64:D76)</f>
        <v>31</v>
      </c>
      <c r="E77" s="547"/>
      <c r="F77" s="547" t="s">
        <v>200</v>
      </c>
      <c r="G77" s="547">
        <f>COUNTIFS($B$9:$B$39,"ti",[0]!Marts,"Skema 3")</f>
        <v>0</v>
      </c>
      <c r="H77" s="547">
        <v>2</v>
      </c>
      <c r="I77" s="554" t="s">
        <v>487</v>
      </c>
      <c r="J77" s="554"/>
      <c r="K77" s="554"/>
      <c r="L77" s="516"/>
      <c r="M77" s="515">
        <f>IF(Stamoplysninger!$B$26="Der er indgået lokalaftale omkring weekendtimer.(Kræver aftale med TR/FSL) Weekendtillæg afspadseres.",M68,0)</f>
        <v>0</v>
      </c>
      <c r="N77" s="515">
        <f>IF(Stamoplysninger!$B$26="Der er indgået lokalaftale omkring weekendtimer.(Kræver aftale med TR/FSL) Weekendtillæg afspadseres.",O70,0)</f>
        <v>0</v>
      </c>
      <c r="O77" s="44"/>
      <c r="P77" s="44"/>
      <c r="Q77" s="44"/>
      <c r="R77" s="44"/>
      <c r="S77" s="44"/>
      <c r="T77" s="44"/>
      <c r="Y77"/>
      <c r="Z77" s="1"/>
      <c r="AX77" s="1"/>
      <c r="BI77" s="253"/>
      <c r="BJ77" s="253"/>
      <c r="CY77"/>
      <c r="CZ77"/>
    </row>
    <row r="78" spans="1:109" hidden="1">
      <c r="A78" s="547" t="s">
        <v>242</v>
      </c>
      <c r="B78" s="547"/>
      <c r="C78" s="547"/>
      <c r="D78" s="547">
        <f>D77-D71-A87-D76</f>
        <v>21</v>
      </c>
      <c r="E78" s="557"/>
      <c r="F78" s="547" t="s">
        <v>201</v>
      </c>
      <c r="G78" s="547">
        <f>COUNTIFS($B$9:$B$39,"on",[0]!Marts,"Skema 3")</f>
        <v>0</v>
      </c>
      <c r="H78" s="547"/>
      <c r="I78" s="554" t="s">
        <v>488</v>
      </c>
      <c r="J78" s="554"/>
      <c r="K78" s="554"/>
      <c r="L78" s="516"/>
      <c r="M78" s="515">
        <f>IF(Stamoplysninger!$B$26="Der er indgået lokalaftale omkring weekendtimer(Kræver aftale med TR/FSL). Weekendtillæg udbetales.",M68,0)</f>
        <v>0</v>
      </c>
      <c r="N78" s="515">
        <f>IF(Stamoplysninger!$B$26="Der er indgået lokalaftale omkring weekendtimer(Kræver aftale med TR/FSL). Weekendtillæg udbetales.",O70,0)</f>
        <v>0</v>
      </c>
      <c r="Y78"/>
      <c r="Z78" s="1"/>
      <c r="AX78" s="1"/>
      <c r="BI78" s="253"/>
      <c r="BJ78" s="253"/>
      <c r="CY78"/>
      <c r="CZ78"/>
    </row>
    <row r="79" spans="1:109" hidden="1">
      <c r="A79" s="547"/>
      <c r="B79" s="547"/>
      <c r="C79" s="547"/>
      <c r="D79" s="547"/>
      <c r="E79" s="547"/>
      <c r="F79" s="547" t="s">
        <v>202</v>
      </c>
      <c r="G79" s="547">
        <f>COUNTIFS($B$9:$B$39,"to",[0]!Marts,"Skema 3")</f>
        <v>0</v>
      </c>
      <c r="H79" s="547"/>
      <c r="I79" s="554" t="s">
        <v>336</v>
      </c>
      <c r="J79" s="554"/>
      <c r="K79" s="554"/>
      <c r="L79" s="518"/>
      <c r="M79" s="517">
        <f>IF(Stamoplysninger!$B$26="Der er indgået lokalaftale omkring weekendtillæg(Kræver aftale med TR/FSL). Weekendtimerne afspadseres.",M68,0)</f>
        <v>0</v>
      </c>
      <c r="N79" s="517">
        <f>IF(Stamoplysninger!$B$26="Der er indgået lokalaftale omkring weekendtillæg(Kræver aftale med TR/FSL). Weekendtimerne afspadseres.",N68,0)</f>
        <v>0</v>
      </c>
      <c r="Y79"/>
      <c r="Z79" s="1"/>
      <c r="AO79" s="1"/>
      <c r="BL79" s="1"/>
      <c r="BW79" s="253"/>
      <c r="BX79" s="253"/>
      <c r="CY79"/>
      <c r="CZ79"/>
    </row>
    <row r="80" spans="1:109" hidden="1">
      <c r="A80" s="547"/>
      <c r="B80" s="547"/>
      <c r="C80" s="547"/>
      <c r="D80" s="547"/>
      <c r="E80" s="547"/>
      <c r="F80" s="547" t="s">
        <v>203</v>
      </c>
      <c r="G80" s="547">
        <f>COUNTIFS($B$9:$B$39,"fr",[0]!Marts,"Skema 3")</f>
        <v>0</v>
      </c>
      <c r="H80" s="547">
        <v>1</v>
      </c>
      <c r="I80" s="554" t="s">
        <v>337</v>
      </c>
      <c r="J80" s="554"/>
      <c r="K80" s="554"/>
      <c r="L80" s="518"/>
      <c r="M80" s="517">
        <f>IF(Stamoplysninger!$B$26="Der er indgået lokalaftale omkring weekendtillæg(Kræver aftale med TR/FSL). Weekendtimerne udbetales.",M68,0)</f>
        <v>0</v>
      </c>
      <c r="N80" s="517">
        <f>IF(Stamoplysninger!$B$26="Der er indgået lokalaftale omkring weekendtillæg(Kræver aftale med TR/FSL). Weekendtimerne udbetales.",N68,0)</f>
        <v>0</v>
      </c>
      <c r="Y80"/>
      <c r="Z80" s="1"/>
      <c r="AO80" s="1"/>
      <c r="BL80" s="1"/>
      <c r="BW80" s="253"/>
      <c r="BX80" s="253"/>
      <c r="CY80"/>
      <c r="CZ80"/>
    </row>
    <row r="81" spans="1:111" hidden="1">
      <c r="A81" s="547" t="s">
        <v>298</v>
      </c>
      <c r="B81" s="547"/>
      <c r="C81" s="547"/>
      <c r="D81" s="547"/>
      <c r="E81" s="547"/>
      <c r="F81" s="547"/>
      <c r="G81" s="547"/>
      <c r="H81" s="547">
        <v>2</v>
      </c>
      <c r="I81" s="554" t="s">
        <v>489</v>
      </c>
      <c r="J81" s="554"/>
      <c r="K81" s="554"/>
      <c r="L81" s="518"/>
      <c r="M81" s="517">
        <f>IF(Stamoplysninger!$B$26="Der er indgået lokalaftale omkring weekendtillæg(Kræver aftale med TR/FSL). Weekendtimerne afspadseres.",M68,0)</f>
        <v>0</v>
      </c>
      <c r="N81" s="517">
        <f>IF(Stamoplysninger!$B$26="Der er indgået lokalaftale omkring weekendtillæg(Kræver aftale med TR/FSL). Weekendtimerne afspadseres.",N68,0)</f>
        <v>0</v>
      </c>
      <c r="Y81"/>
      <c r="Z81" s="1"/>
      <c r="AO81" s="1"/>
      <c r="BL81" s="1"/>
      <c r="BW81" s="253"/>
      <c r="BX81" s="253"/>
      <c r="CY81"/>
      <c r="CZ81"/>
    </row>
    <row r="82" spans="1:111" hidden="1">
      <c r="A82" s="547">
        <f>COUNTIF(C10:C11,"Skema 1")+COUNTIF(C10:C11,"Skema 2")+COUNTIF(C10:C11,"Skema 3")+COUNTIF(C10:C11,"Skema 4")+COUNTIF(C10:C11,"Fagdag")+COUNTIF(C10:C11,"Emnedag")+COUNTIF(C10:C11,"Lejrskole")+COUNTIF(C10:C11,"Ekskursion")+COUNTIF(C10:C11,"Pæd.dag")</f>
        <v>0</v>
      </c>
      <c r="B82" s="547"/>
      <c r="C82" s="547"/>
      <c r="D82" s="547"/>
      <c r="E82" s="547"/>
      <c r="F82" s="547" t="s">
        <v>204</v>
      </c>
      <c r="G82" s="547">
        <f>COUNTIFS($B$9:$B$39,"ma",[0]!Marts,"Skema 4")</f>
        <v>0</v>
      </c>
      <c r="H82" s="547"/>
      <c r="I82" s="554" t="s">
        <v>490</v>
      </c>
      <c r="J82" s="554"/>
      <c r="K82" s="554"/>
      <c r="L82" s="518"/>
      <c r="M82" s="517">
        <f>IF(Stamoplysninger!$B$26="Der er indgået lokalaftale omkring weekendtillæg(Kræver aftale med TR/FSL). Weekendtimerne udbetales.",M68,0)</f>
        <v>0</v>
      </c>
      <c r="N82" s="517">
        <f>IF(Stamoplysninger!$B$26="Der er indgået lokalaftale omkring weekendtillæg(Kræver aftale med TR/FSL). Weekendtimerne udbetales.",N68,0)</f>
        <v>0</v>
      </c>
      <c r="Y82"/>
      <c r="Z82" s="1"/>
      <c r="AO82" s="1"/>
      <c r="BL82" s="1"/>
      <c r="BW82" s="253"/>
      <c r="BX82" s="253"/>
      <c r="CY82"/>
      <c r="CZ82"/>
    </row>
    <row r="83" spans="1:111" hidden="1">
      <c r="A83" s="547">
        <f>COUNTIF(C17:C18,"Skema 1")+COUNTIF(C17:C18,"Skema 2")+COUNTIF(C17:C18,"Skema 3")+COUNTIF(C17:C18,"Skema 4")+COUNTIF(C17:C18,"Fagdag")+COUNTIF(C17:C18,"Emnedag")+COUNTIF(C17:C18,"Lejrskole")+COUNTIF(C17:C18,"Ekskursion")+COUNTIF(C17:C18,"Pæd.dag")</f>
        <v>0</v>
      </c>
      <c r="B83" s="547"/>
      <c r="C83" s="547"/>
      <c r="D83" s="547"/>
      <c r="E83" s="547"/>
      <c r="F83" s="547" t="s">
        <v>205</v>
      </c>
      <c r="G83" s="547">
        <f>COUNTIFS($B$9:$B$39,"ti",[0]!Marts,"Skema 4")</f>
        <v>0</v>
      </c>
      <c r="H83" s="547"/>
      <c r="I83" s="547" t="s">
        <v>486</v>
      </c>
      <c r="J83" s="552"/>
      <c r="K83" s="552"/>
      <c r="L83" s="477"/>
      <c r="M83" s="463">
        <f>IF(Stamoplysninger!$B$26="Der er indgået lokalaftale omkring weekendtimer og weekendtillæg.(Kræver aftale med TR/FSL).",M68,0)</f>
        <v>0</v>
      </c>
      <c r="N83" s="463"/>
      <c r="Y83"/>
      <c r="Z83" s="1"/>
      <c r="AO83" s="1"/>
      <c r="BL83" s="1"/>
      <c r="BW83" s="253"/>
      <c r="BX83" s="253"/>
      <c r="CY83"/>
      <c r="CZ83"/>
    </row>
    <row r="84" spans="1:111" hidden="1">
      <c r="A84" s="547">
        <f>COUNTIF(C24:C25,"Skema 1")+COUNTIF(C24:C25,"Skema 2")+COUNTIF(C24:C25,"Skema 3")+COUNTIF(C24:C25,"Skema 4")+COUNTIF(C24:C25,"Fagdag")+COUNTIF(C24:C25,"Emnedag")+COUNTIF(C24:C25,"Lejrskole")+COUNTIF(C24:C25,"Ekskursion")+COUNTIF(C24:C25,"Pæd.dag")</f>
        <v>0</v>
      </c>
      <c r="B84" s="547"/>
      <c r="C84" s="547"/>
      <c r="D84" s="547"/>
      <c r="E84" s="547"/>
      <c r="F84" s="547" t="s">
        <v>206</v>
      </c>
      <c r="G84" s="547">
        <f>COUNTIFS($B$9:$B$39,"on",[0]!Marts,"Skema 4")</f>
        <v>0</v>
      </c>
      <c r="H84" s="547"/>
      <c r="I84" s="547"/>
      <c r="J84" s="552"/>
      <c r="K84" s="552"/>
      <c r="L84" s="477"/>
      <c r="Y84"/>
      <c r="Z84" s="1"/>
      <c r="AO84" s="1"/>
      <c r="BL84" s="1"/>
      <c r="BW84" s="253"/>
      <c r="BX84" s="253"/>
      <c r="CY84"/>
      <c r="CZ84"/>
    </row>
    <row r="85" spans="1:111" hidden="1">
      <c r="A85" s="547">
        <f>COUNTIF(C31:C32,"Skema 1")+COUNTIF(C31:C32,"Skema 2")+COUNTIF(C31:C32,"Skema 3")+COUNTIF(C31:C32,"Skema 4")+COUNTIF(C31:C32,"Fagdag")+COUNTIF(C31:C32,"Emnedag")+COUNTIF(C31:C32,"Lejrskole")+COUNTIF(C31:C32,"Ekskursion")+COUNTIF(C31:C32,"Pæd.dag")</f>
        <v>0</v>
      </c>
      <c r="B85" s="547"/>
      <c r="C85" s="547"/>
      <c r="D85" s="547"/>
      <c r="E85" s="547"/>
      <c r="F85" s="547" t="s">
        <v>207</v>
      </c>
      <c r="G85" s="547">
        <f>COUNTIFS($B$9:$B$39,"to",[0]!Marts,"Skema 4")</f>
        <v>0</v>
      </c>
      <c r="H85" s="547"/>
      <c r="I85" s="547"/>
      <c r="J85" s="552"/>
      <c r="K85" s="552"/>
      <c r="L85" s="477"/>
      <c r="Y85"/>
      <c r="Z85"/>
      <c r="AO85" s="1">
        <f>SUM(N85:AN85)</f>
        <v>0</v>
      </c>
      <c r="BL85" s="1">
        <f>SUM(AI85:BK85)</f>
        <v>0</v>
      </c>
      <c r="BW85" s="253"/>
      <c r="BX85" s="253"/>
      <c r="CY85"/>
      <c r="CZ85"/>
    </row>
    <row r="86" spans="1:111" hidden="1">
      <c r="A86" s="547">
        <f>COUNTIF(C38:C39,"Skema 1")+COUNTIF(C38:C39,"Skema 2")+COUNTIF(C38:C39,"Skema 3")+COUNTIF(C38:C39,"Skema 4")+COUNTIF(C38:C39,"Fagdag")+COUNTIF(C38:C39,"Emnedag")+COUNTIF(C38:C39,"Lejrskole")+COUNTIF(C38:C39,"Ekskursion")+COUNTIF(C38:C39,"Pæd.dag")</f>
        <v>0</v>
      </c>
      <c r="B86" s="547"/>
      <c r="C86" s="547"/>
      <c r="D86" s="547"/>
      <c r="E86" s="547"/>
      <c r="F86" s="547" t="s">
        <v>208</v>
      </c>
      <c r="G86" s="547">
        <f>COUNTIFS($B$9:$B$39,"fr",[0]!Marts,"Skema 4")</f>
        <v>0</v>
      </c>
      <c r="H86" s="547"/>
      <c r="I86" s="552"/>
      <c r="J86" s="552"/>
      <c r="K86" s="552"/>
      <c r="L86" s="477"/>
      <c r="Y86"/>
      <c r="Z86"/>
      <c r="AO86" s="1">
        <f>SUM(N86:AN86)</f>
        <v>0</v>
      </c>
      <c r="BL86" s="1">
        <f>SUM(AI86:BK86)</f>
        <v>0</v>
      </c>
      <c r="BW86" s="253"/>
      <c r="BX86" s="253"/>
      <c r="CY86"/>
      <c r="CZ86"/>
    </row>
    <row r="87" spans="1:111" hidden="1">
      <c r="A87" s="547">
        <f>SUM(A82:A86)</f>
        <v>0</v>
      </c>
      <c r="B87" s="547"/>
      <c r="C87" s="547"/>
      <c r="D87" s="547"/>
      <c r="E87" s="547"/>
      <c r="F87" s="547"/>
      <c r="G87" s="555">
        <f>SUM(G64:G86)</f>
        <v>16</v>
      </c>
      <c r="H87" s="552"/>
      <c r="I87" s="552"/>
      <c r="J87" s="552"/>
      <c r="K87" s="552"/>
      <c r="L87" s="477"/>
      <c r="Y87"/>
      <c r="Z87"/>
      <c r="AO87" s="1">
        <f>SUM(N87:AN87)</f>
        <v>0</v>
      </c>
      <c r="BL87" s="1">
        <f>SUM(AI87:BK87)</f>
        <v>0</v>
      </c>
      <c r="BW87" s="253"/>
      <c r="BX87" s="253"/>
      <c r="CY87"/>
      <c r="CZ87"/>
    </row>
    <row r="88" spans="1:111" hidden="1">
      <c r="A88" s="552"/>
      <c r="B88" s="552"/>
      <c r="C88" s="552"/>
      <c r="D88" s="552"/>
      <c r="E88" s="547"/>
      <c r="F88" s="547"/>
      <c r="G88" s="547"/>
      <c r="H88" s="552"/>
      <c r="I88" s="552"/>
      <c r="J88" s="552"/>
      <c r="K88" s="552"/>
      <c r="L88" s="477"/>
      <c r="Y88"/>
      <c r="Z88"/>
      <c r="AO88" s="1">
        <f>SUM(N88:AN88)</f>
        <v>0</v>
      </c>
      <c r="BL88" s="1">
        <f>SUM(AI88:BK88)</f>
        <v>0</v>
      </c>
      <c r="BW88" s="253"/>
      <c r="BX88" s="253"/>
      <c r="CY88"/>
      <c r="CZ88"/>
    </row>
    <row r="89" spans="1:111" hidden="1">
      <c r="A89" s="552"/>
      <c r="B89" s="552"/>
      <c r="C89" s="552"/>
      <c r="D89" s="552"/>
      <c r="E89" s="547"/>
      <c r="F89" s="547"/>
      <c r="G89" s="547"/>
      <c r="H89" s="552"/>
      <c r="I89" s="552"/>
      <c r="J89" s="552"/>
      <c r="K89" s="552"/>
      <c r="L89" s="477"/>
      <c r="Y89"/>
      <c r="Z89"/>
      <c r="BW89" s="253"/>
      <c r="BX89" s="253"/>
      <c r="CY89"/>
      <c r="CZ89"/>
    </row>
    <row r="90" spans="1:111">
      <c r="A90" s="552"/>
      <c r="B90" s="552"/>
      <c r="C90" s="552"/>
      <c r="D90" s="552"/>
      <c r="E90" s="547"/>
      <c r="F90" s="547"/>
      <c r="G90" s="547"/>
      <c r="H90" s="552"/>
      <c r="I90" s="552"/>
      <c r="J90" s="552"/>
      <c r="K90" s="552"/>
      <c r="L90" s="477"/>
      <c r="Y90"/>
      <c r="Z90"/>
      <c r="BW90" s="253"/>
      <c r="BX90" s="253"/>
      <c r="CY90"/>
      <c r="CZ90"/>
    </row>
    <row r="91" spans="1:111">
      <c r="A91" s="552"/>
      <c r="B91" s="552"/>
      <c r="C91" s="552"/>
      <c r="D91" s="552"/>
      <c r="E91" s="547"/>
      <c r="F91" s="547"/>
      <c r="G91" s="547"/>
      <c r="H91" s="552"/>
      <c r="I91" s="552"/>
      <c r="J91" s="552"/>
      <c r="K91" s="552"/>
      <c r="L91" s="477"/>
      <c r="Y91"/>
      <c r="Z91"/>
      <c r="BW91" s="253"/>
      <c r="BX91" s="253"/>
      <c r="CY91"/>
      <c r="CZ91"/>
    </row>
    <row r="92" spans="1:111">
      <c r="A92" s="552"/>
      <c r="B92" s="552"/>
      <c r="C92" s="552"/>
      <c r="D92" s="552"/>
      <c r="E92" s="547"/>
      <c r="F92" s="547"/>
      <c r="G92" s="547"/>
      <c r="H92" s="552"/>
      <c r="I92" s="552"/>
      <c r="J92" s="552"/>
      <c r="K92" s="552"/>
      <c r="L92" s="477"/>
      <c r="Y92"/>
      <c r="Z92"/>
      <c r="BW92" s="253"/>
      <c r="BX92" s="253"/>
      <c r="CY92"/>
      <c r="CZ92"/>
    </row>
    <row r="93" spans="1:111">
      <c r="A93" s="552"/>
      <c r="B93" s="552"/>
      <c r="C93" s="552"/>
      <c r="D93" s="552"/>
      <c r="E93" s="547"/>
      <c r="F93" s="547"/>
      <c r="G93" s="547"/>
      <c r="H93" s="552"/>
      <c r="I93" s="552"/>
      <c r="J93" s="552"/>
      <c r="K93" s="552"/>
      <c r="L93" s="477"/>
      <c r="Y93"/>
      <c r="Z93"/>
      <c r="AF93" s="235"/>
      <c r="BW93" s="253"/>
      <c r="BX93" s="253"/>
      <c r="CY93"/>
      <c r="CZ93"/>
    </row>
    <row r="94" spans="1:111">
      <c r="E94" s="94"/>
      <c r="F94" s="94"/>
      <c r="G94" s="94"/>
      <c r="Y94"/>
      <c r="Z94"/>
      <c r="AD94" s="4"/>
      <c r="AE94" s="235"/>
      <c r="AF94" s="235"/>
      <c r="AG94" s="235"/>
      <c r="AH94" s="235"/>
      <c r="CY94"/>
      <c r="CZ94"/>
      <c r="DF94" s="253"/>
      <c r="DG94" s="253"/>
    </row>
    <row r="95" spans="1:111">
      <c r="E95" s="94"/>
      <c r="F95" s="94"/>
      <c r="G95" s="94"/>
      <c r="Y95"/>
      <c r="Z95"/>
      <c r="AD95" s="4"/>
      <c r="AE95" s="235"/>
      <c r="AG95" s="235"/>
      <c r="AH95" s="235"/>
      <c r="CY95"/>
      <c r="CZ95"/>
      <c r="DF95" s="253"/>
      <c r="DG95" s="253"/>
    </row>
    <row r="96" spans="1:111">
      <c r="E96" s="94"/>
      <c r="F96" s="94"/>
      <c r="G96" s="94"/>
    </row>
    <row r="97" spans="5:7">
      <c r="E97" s="94"/>
      <c r="F97" s="94"/>
      <c r="G97" s="94"/>
    </row>
  </sheetData>
  <sheetProtection sheet="1" objects="1" scenarios="1"/>
  <mergeCells count="142">
    <mergeCell ref="A55:G55"/>
    <mergeCell ref="I55:K55"/>
    <mergeCell ref="E13:G13"/>
    <mergeCell ref="E14:G14"/>
    <mergeCell ref="E15:G15"/>
    <mergeCell ref="E16:G16"/>
    <mergeCell ref="E23:G23"/>
    <mergeCell ref="E24:G24"/>
    <mergeCell ref="E25:G25"/>
    <mergeCell ref="E26:G26"/>
    <mergeCell ref="E27:G27"/>
    <mergeCell ref="E17:G17"/>
    <mergeCell ref="E18:G18"/>
    <mergeCell ref="E19:G19"/>
    <mergeCell ref="E20:G20"/>
    <mergeCell ref="E21:G21"/>
    <mergeCell ref="E22:G22"/>
    <mergeCell ref="E28:G28"/>
    <mergeCell ref="A42:G42"/>
    <mergeCell ref="I42:K42"/>
    <mergeCell ref="A43:G43"/>
    <mergeCell ref="I43:K43"/>
    <mergeCell ref="E29:G29"/>
    <mergeCell ref="E30:G30"/>
    <mergeCell ref="B2:E2"/>
    <mergeCell ref="E4:G4"/>
    <mergeCell ref="K4:L4"/>
    <mergeCell ref="A5:R5"/>
    <mergeCell ref="P6:P7"/>
    <mergeCell ref="Q6:Q7"/>
    <mergeCell ref="R6:R7"/>
    <mergeCell ref="A4:D4"/>
    <mergeCell ref="E12:G12"/>
    <mergeCell ref="S5:X5"/>
    <mergeCell ref="A3:X3"/>
    <mergeCell ref="AG6:AK6"/>
    <mergeCell ref="E6:G8"/>
    <mergeCell ref="K6:L6"/>
    <mergeCell ref="N6:N7"/>
    <mergeCell ref="O6:O7"/>
    <mergeCell ref="E11:G11"/>
    <mergeCell ref="K8:R8"/>
    <mergeCell ref="I6:I7"/>
    <mergeCell ref="J6:J7"/>
    <mergeCell ref="S6:X6"/>
    <mergeCell ref="S8:U8"/>
    <mergeCell ref="V8:X8"/>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I8:J8"/>
    <mergeCell ref="AA6:AE6"/>
    <mergeCell ref="M42:X42"/>
    <mergeCell ref="M43:U43"/>
    <mergeCell ref="V43:X43"/>
    <mergeCell ref="M44:U44"/>
    <mergeCell ref="V44:X44"/>
    <mergeCell ref="E36:G36"/>
    <mergeCell ref="E37:G37"/>
    <mergeCell ref="E38:G38"/>
    <mergeCell ref="E39:G39"/>
    <mergeCell ref="A40:I40"/>
    <mergeCell ref="E31:G31"/>
    <mergeCell ref="E33:G33"/>
    <mergeCell ref="E34:G34"/>
    <mergeCell ref="E35:G35"/>
    <mergeCell ref="A65:C65"/>
    <mergeCell ref="V46:X46"/>
    <mergeCell ref="M47:X47"/>
    <mergeCell ref="M48:U48"/>
    <mergeCell ref="V48:X48"/>
    <mergeCell ref="M49:U49"/>
    <mergeCell ref="V49:X49"/>
    <mergeCell ref="A44:G44"/>
    <mergeCell ref="I44:K44"/>
    <mergeCell ref="A45:G45"/>
    <mergeCell ref="I45:K45"/>
    <mergeCell ref="M45:U45"/>
    <mergeCell ref="V45:X45"/>
    <mergeCell ref="A49:H49"/>
    <mergeCell ref="I49:K49"/>
    <mergeCell ref="I48:K48"/>
    <mergeCell ref="M52:U52"/>
    <mergeCell ref="V52:X52"/>
    <mergeCell ref="A53:G54"/>
    <mergeCell ref="I53:K53"/>
    <mergeCell ref="M53:U53"/>
    <mergeCell ref="V53:X53"/>
    <mergeCell ref="I54:K54"/>
    <mergeCell ref="A67:C67"/>
    <mergeCell ref="E32:G32"/>
    <mergeCell ref="A66:C66"/>
    <mergeCell ref="I51:K51"/>
    <mergeCell ref="M50:U50"/>
    <mergeCell ref="V50:X50"/>
    <mergeCell ref="M51:U51"/>
    <mergeCell ref="V51:X51"/>
    <mergeCell ref="A50:H50"/>
    <mergeCell ref="I50:K50"/>
    <mergeCell ref="A46:G46"/>
    <mergeCell ref="I46:K46"/>
    <mergeCell ref="A47:G47"/>
    <mergeCell ref="I47:K47"/>
    <mergeCell ref="M46:U46"/>
    <mergeCell ref="A48:H48"/>
    <mergeCell ref="A56:K56"/>
    <mergeCell ref="A57:B57"/>
    <mergeCell ref="C57:D57"/>
    <mergeCell ref="E57:G57"/>
    <mergeCell ref="H57:K57"/>
    <mergeCell ref="A61:B61"/>
    <mergeCell ref="C61:D61"/>
    <mergeCell ref="E61:G61"/>
    <mergeCell ref="I61:K61"/>
    <mergeCell ref="A62:G62"/>
    <mergeCell ref="I62:K62"/>
    <mergeCell ref="A58:B58"/>
    <mergeCell ref="C58:D58"/>
    <mergeCell ref="E58:G58"/>
    <mergeCell ref="I58:K58"/>
    <mergeCell ref="A59:B59"/>
    <mergeCell ref="C59:D59"/>
    <mergeCell ref="E59:G59"/>
    <mergeCell ref="I59:K59"/>
    <mergeCell ref="A60:B60"/>
    <mergeCell ref="C60:D60"/>
    <mergeCell ref="E60:G60"/>
    <mergeCell ref="I60:K60"/>
  </mergeCells>
  <phoneticPr fontId="5" type="noConversion"/>
  <conditionalFormatting sqref="A9:H31 A32:E32 H32 A33:H39">
    <cfRule type="expression" dxfId="593" priority="56">
      <formula>OR($C9="ekskursion")</formula>
    </cfRule>
    <cfRule type="expression" dxfId="592" priority="62" stopIfTrue="1">
      <formula>OR($C9="Orlov")</formula>
    </cfRule>
    <cfRule type="expression" dxfId="591" priority="61">
      <formula>OR($C9="weekend")</formula>
    </cfRule>
    <cfRule type="expression" dxfId="590" priority="60">
      <formula>OR($C9="feriedag")</formula>
    </cfRule>
    <cfRule type="expression" dxfId="589" priority="59">
      <formula>OR($C9="fagdag")</formula>
    </cfRule>
    <cfRule type="expression" dxfId="588" priority="58">
      <formula>OR($C9="emnedag")</formula>
    </cfRule>
    <cfRule type="expression" dxfId="587" priority="57">
      <formula>OR($C9="lejrskole")</formula>
    </cfRule>
    <cfRule type="expression" dxfId="586" priority="55">
      <formula>OR($C9="SH-dag")</formula>
    </cfRule>
    <cfRule type="expression" dxfId="585" priority="54">
      <formula>OR($C9="nul-dag")</formula>
    </cfRule>
    <cfRule type="expression" dxfId="584" priority="53">
      <formula>OR($C9="pæd.dag")</formula>
    </cfRule>
    <cfRule type="expression" dxfId="583" priority="52">
      <formula>OR($C9="Ikke relevant")</formula>
    </cfRule>
    <cfRule type="expression" dxfId="582" priority="48">
      <formula>OR($C9="Skema 1")</formula>
    </cfRule>
    <cfRule type="expression" dxfId="581" priority="49">
      <formula>OR($C9="skema 2")</formula>
    </cfRule>
    <cfRule type="expression" dxfId="580" priority="50">
      <formula>OR($C9="Skema 3")</formula>
    </cfRule>
    <cfRule type="expression" dxfId="579" priority="51">
      <formula>OR($C9="Skema 4")</formula>
    </cfRule>
  </conditionalFormatting>
  <conditionalFormatting sqref="E20">
    <cfRule type="expression" dxfId="578" priority="64">
      <formula>OR($D19="nul-dag")</formula>
    </cfRule>
    <cfRule type="expression" dxfId="577" priority="65">
      <formula>OR($D19="SH-dag")</formula>
    </cfRule>
    <cfRule type="expression" dxfId="576" priority="66">
      <formula>OR($D19="ekskursion")</formula>
    </cfRule>
    <cfRule type="expression" dxfId="575" priority="67">
      <formula>OR($D19="lejrskole")</formula>
    </cfRule>
    <cfRule type="expression" dxfId="574" priority="63">
      <formula>OR($D19="pæd.dag")</formula>
    </cfRule>
    <cfRule type="expression" dxfId="573" priority="68">
      <formula>OR($D19="emnedag")</formula>
    </cfRule>
    <cfRule type="expression" dxfId="572" priority="69">
      <formula>OR($D19="fagdag")</formula>
    </cfRule>
    <cfRule type="expression" dxfId="571" priority="70">
      <formula>OR($D19="feriedag")</formula>
    </cfRule>
    <cfRule type="expression" dxfId="570" priority="71">
      <formula>OR($D19="weekend")</formula>
    </cfRule>
    <cfRule type="expression" dxfId="569" priority="72" stopIfTrue="1">
      <formula>OR($D19="skoledag")</formula>
    </cfRule>
    <cfRule type="expression" dxfId="568" priority="73">
      <formula>OR($D19="Ikke relevant")</formula>
    </cfRule>
  </conditionalFormatting>
  <conditionalFormatting sqref="H58:H61">
    <cfRule type="expression" dxfId="567" priority="1">
      <formula>OR($A58&gt;0,)</formula>
    </cfRule>
  </conditionalFormatting>
  <conditionalFormatting sqref="I58:I61">
    <cfRule type="expression" dxfId="566" priority="2">
      <formula>OR($C58&gt;0,)</formula>
    </cfRule>
  </conditionalFormatting>
  <conditionalFormatting sqref="K9:K39">
    <cfRule type="expression" dxfId="565" priority="45">
      <formula>OR($C9="Pæd.dag",)</formula>
    </cfRule>
  </conditionalFormatting>
  <conditionalFormatting sqref="K9:L39">
    <cfRule type="expression" dxfId="564" priority="47">
      <formula>OR($C9="Ekskursion",)</formula>
    </cfRule>
    <cfRule type="expression" dxfId="563" priority="46">
      <formula>OR($C9="Lejrskole",)</formula>
    </cfRule>
  </conditionalFormatting>
  <conditionalFormatting sqref="K9:M39">
    <cfRule type="expression" dxfId="562" priority="44">
      <formula>OR($C9="emnedag",)</formula>
    </cfRule>
    <cfRule type="expression" dxfId="561" priority="43">
      <formula>OR($C9="fagdag",)</formula>
    </cfRule>
  </conditionalFormatting>
  <conditionalFormatting sqref="R9:R39">
    <cfRule type="expression" dxfId="560" priority="74">
      <formula>OR($H9&gt;"0",)</formula>
    </cfRule>
  </conditionalFormatting>
  <conditionalFormatting sqref="V9:V39">
    <cfRule type="expression" dxfId="559" priority="10">
      <formula>OR($S9="X",)</formula>
    </cfRule>
  </conditionalFormatting>
  <conditionalFormatting sqref="V49:X52">
    <cfRule type="expression" dxfId="558" priority="3">
      <formula>OR($M49&gt;0,)</formula>
    </cfRule>
  </conditionalFormatting>
  <conditionalFormatting sqref="W9:W39">
    <cfRule type="expression" dxfId="557" priority="9">
      <formula>OR($T9="X",)</formula>
    </cfRule>
  </conditionalFormatting>
  <conditionalFormatting sqref="X9:X39">
    <cfRule type="expression" dxfId="556" priority="8">
      <formula>OR($U9="X",)</formula>
    </cfRule>
  </conditionalFormatting>
  <dataValidations count="3">
    <dataValidation type="list" allowBlank="1" showInputMessage="1" showErrorMessage="1" sqref="S9:T39 U9:U37 A58:D61" xr:uid="{F4D63E90-AEB6-994C-9941-9168DC196939}">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4:I25 I10:I11 I17:I18 I36:I39 I31:I32" xr:uid="{C24FDA66-9E9E-4644-A0F5-51911EDF1903}">
      <formula1>$W$1:$W$2</formula1>
    </dataValidation>
    <dataValidation type="list" allowBlank="1" showInputMessage="1" showErrorMessage="1" promptTitle="OBS:" prompt="Ved arrangementer med overnatning ydes istedet for ulempe- og weekendgodtgørelse på hhv. 25% og 50% faste tillæg pr. påbegyndt dag. " sqref="J9:J39" xr:uid="{59B184ED-E1DB-2540-90DF-6BA7DFBEFA4B}">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54CB9A82-557A-8945-AC1B-7C7EDF28BC5F}">
          <x14:formula1>
            <xm:f>August!$A$89:$A$103</xm:f>
          </x14:formula1>
          <xm:sqref>C9:C39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AEE09-7903-0A48-8AA4-7EF2F707F10D}">
  <sheetPr>
    <tabColor theme="4" tint="-0.249977111117893"/>
    <pageSetUpPr fitToPage="1"/>
  </sheetPr>
  <dimension ref="A1:DN96"/>
  <sheetViews>
    <sheetView zoomScale="90" workbookViewId="0">
      <selection activeCell="F115" sqref="F115"/>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8"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94"/>
      <c r="Y1"/>
      <c r="Z1" s="94"/>
      <c r="AB1" s="94"/>
      <c r="AC1" s="94"/>
      <c r="AH1" s="94"/>
      <c r="AI1" s="94"/>
      <c r="CX1" s="253"/>
      <c r="CZ1"/>
    </row>
    <row r="2" spans="1:118" ht="20">
      <c r="A2" s="96">
        <v>4</v>
      </c>
      <c r="B2" s="1009"/>
      <c r="C2" s="1009"/>
      <c r="D2" s="1009"/>
      <c r="E2" s="1009"/>
      <c r="F2" s="94"/>
      <c r="G2" s="94"/>
      <c r="H2" s="292"/>
      <c r="I2" s="291"/>
      <c r="J2" s="234"/>
      <c r="K2" s="234"/>
      <c r="L2" s="234"/>
      <c r="M2" s="234"/>
      <c r="N2" s="234"/>
      <c r="O2" s="234"/>
      <c r="P2" s="94"/>
      <c r="Q2" s="94"/>
      <c r="R2" s="94"/>
      <c r="S2" s="94"/>
      <c r="T2" s="94"/>
      <c r="U2" s="94"/>
      <c r="V2" s="94"/>
      <c r="W2" s="127" t="s">
        <v>31</v>
      </c>
      <c r="X2" s="127" t="s">
        <v>31</v>
      </c>
      <c r="Y2"/>
      <c r="Z2" s="94"/>
      <c r="AB2" s="94"/>
      <c r="AC2" s="94"/>
      <c r="AH2" s="94"/>
      <c r="AI2" s="94"/>
      <c r="CX2" s="253"/>
      <c r="CZ2"/>
    </row>
    <row r="3" spans="1:118">
      <c r="A3" s="1022" t="s">
        <v>316</v>
      </c>
      <c r="B3" s="1023"/>
      <c r="C3" s="1023"/>
      <c r="D3" s="1023"/>
      <c r="E3" s="1023"/>
      <c r="F3" s="1023"/>
      <c r="G3" s="1023"/>
      <c r="H3" s="1023"/>
      <c r="I3" s="1023"/>
      <c r="J3" s="1023"/>
      <c r="K3" s="1023"/>
      <c r="L3" s="1023"/>
      <c r="M3" s="1023"/>
      <c r="N3" s="1023"/>
      <c r="O3" s="1023"/>
      <c r="P3" s="1023"/>
      <c r="Q3" s="1023"/>
      <c r="R3" s="1023"/>
      <c r="S3" s="1023"/>
      <c r="T3" s="1023"/>
      <c r="U3" s="1023"/>
      <c r="V3" s="1023"/>
      <c r="W3" s="1023"/>
      <c r="X3" s="1024"/>
      <c r="Y3" s="94"/>
      <c r="Z3"/>
      <c r="AC3" s="94"/>
      <c r="AD3" s="94"/>
      <c r="AF3" s="94"/>
      <c r="CT3" s="253"/>
      <c r="CU3" s="253"/>
      <c r="CY3"/>
      <c r="CZ3"/>
    </row>
    <row r="4" spans="1:118" ht="236" customHeight="1" thickBot="1">
      <c r="A4" s="921" t="s">
        <v>463</v>
      </c>
      <c r="B4" s="922"/>
      <c r="C4" s="922"/>
      <c r="D4" s="922"/>
      <c r="E4" s="923" t="s">
        <v>317</v>
      </c>
      <c r="F4" s="923"/>
      <c r="G4" s="923"/>
      <c r="H4" s="293" t="s">
        <v>442</v>
      </c>
      <c r="I4" s="468" t="s">
        <v>511</v>
      </c>
      <c r="J4" s="468" t="s">
        <v>512</v>
      </c>
      <c r="K4" s="933" t="s">
        <v>579</v>
      </c>
      <c r="L4" s="933"/>
      <c r="M4" s="533" t="s">
        <v>499</v>
      </c>
      <c r="N4" s="533" t="s">
        <v>464</v>
      </c>
      <c r="O4" s="533" t="s">
        <v>465</v>
      </c>
      <c r="P4" s="534" t="s">
        <v>500</v>
      </c>
      <c r="Q4" s="534" t="s">
        <v>315</v>
      </c>
      <c r="R4" s="534" t="s">
        <v>466</v>
      </c>
      <c r="S4" s="535" t="s">
        <v>509</v>
      </c>
      <c r="T4" s="535" t="s">
        <v>467</v>
      </c>
      <c r="U4" s="535" t="s">
        <v>468</v>
      </c>
      <c r="V4" s="536" t="s">
        <v>501</v>
      </c>
      <c r="W4" s="536" t="s">
        <v>427</v>
      </c>
      <c r="X4" s="537" t="s">
        <v>426</v>
      </c>
      <c r="Y4" s="251"/>
      <c r="Z4" s="94"/>
      <c r="AB4" s="94"/>
      <c r="AC4" s="94"/>
      <c r="AH4" s="94"/>
      <c r="AI4" s="94"/>
      <c r="CX4" s="253"/>
      <c r="CZ4"/>
    </row>
    <row r="5" spans="1:118" ht="26" thickBot="1">
      <c r="A5" s="934" t="str">
        <f>""&amp;A7&amp;" måneds kalender for: "&amp;Stamoplysninger!E8&amp;". Måneden vedr. normperioden: "&amp;Stamoplysninger!E11&amp;" - "&amp;Stamoplysninger!G11&amp;"."</f>
        <v>April måneds kalender for: . Måneden vedr. normperioden:  - .</v>
      </c>
      <c r="B5" s="935"/>
      <c r="C5" s="935"/>
      <c r="D5" s="935"/>
      <c r="E5" s="935"/>
      <c r="F5" s="935"/>
      <c r="G5" s="935"/>
      <c r="H5" s="935"/>
      <c r="I5" s="935"/>
      <c r="J5" s="935"/>
      <c r="K5" s="935"/>
      <c r="L5" s="935"/>
      <c r="M5" s="935"/>
      <c r="N5" s="935"/>
      <c r="O5" s="935"/>
      <c r="P5" s="935"/>
      <c r="Q5" s="935"/>
      <c r="R5" s="935"/>
      <c r="S5" s="928" t="s">
        <v>424</v>
      </c>
      <c r="T5" s="929"/>
      <c r="U5" s="929"/>
      <c r="V5" s="929"/>
      <c r="W5" s="929"/>
      <c r="X5" s="930"/>
      <c r="Y5" s="251"/>
      <c r="Z5" s="94"/>
      <c r="AB5" s="94"/>
      <c r="AC5" s="94"/>
      <c r="AH5" s="94"/>
      <c r="AI5" s="94"/>
      <c r="CX5" s="253"/>
      <c r="CZ5"/>
    </row>
    <row r="6" spans="1:118" ht="47" customHeight="1">
      <c r="A6" s="346">
        <f>Januar!A6</f>
        <v>2024</v>
      </c>
      <c r="B6" s="246"/>
      <c r="C6" s="247"/>
      <c r="D6" s="248"/>
      <c r="E6" s="941" t="s">
        <v>516</v>
      </c>
      <c r="F6" s="942"/>
      <c r="G6" s="943"/>
      <c r="H6" s="343" t="s">
        <v>344</v>
      </c>
      <c r="I6" s="912" t="s">
        <v>510</v>
      </c>
      <c r="J6" s="939" t="s">
        <v>535</v>
      </c>
      <c r="K6" s="936" t="s">
        <v>309</v>
      </c>
      <c r="L6" s="937"/>
      <c r="M6" s="344" t="s">
        <v>310</v>
      </c>
      <c r="N6" s="912" t="s">
        <v>478</v>
      </c>
      <c r="O6" s="912" t="s">
        <v>314</v>
      </c>
      <c r="P6" s="912" t="s">
        <v>498</v>
      </c>
      <c r="Q6" s="912" t="s">
        <v>413</v>
      </c>
      <c r="R6" s="919" t="s">
        <v>580</v>
      </c>
      <c r="S6" s="913" t="s">
        <v>311</v>
      </c>
      <c r="T6" s="914"/>
      <c r="U6" s="914"/>
      <c r="V6" s="914"/>
      <c r="W6" s="914"/>
      <c r="X6" s="915"/>
      <c r="Y6" s="216"/>
      <c r="Z6" s="216"/>
      <c r="AA6" s="909" t="s">
        <v>264</v>
      </c>
      <c r="AB6" s="909"/>
      <c r="AC6" s="909"/>
      <c r="AD6" s="909"/>
      <c r="AE6" s="909"/>
      <c r="AF6" s="213"/>
      <c r="AG6" s="909" t="s">
        <v>225</v>
      </c>
      <c r="AH6" s="909"/>
      <c r="AI6" s="909"/>
      <c r="AJ6" s="909"/>
      <c r="AK6" s="909"/>
      <c r="AL6" s="909" t="s">
        <v>226</v>
      </c>
      <c r="AM6" s="909"/>
      <c r="AN6" s="909"/>
      <c r="AO6" s="909"/>
      <c r="AP6" s="909"/>
      <c r="AQ6" s="909" t="s">
        <v>227</v>
      </c>
      <c r="AR6" s="909"/>
      <c r="AS6" s="909"/>
      <c r="AT6" s="909"/>
      <c r="AU6" s="909"/>
      <c r="AV6" s="909" t="s">
        <v>228</v>
      </c>
      <c r="AW6" s="909"/>
      <c r="AX6" s="909"/>
      <c r="AY6" s="909"/>
      <c r="AZ6" s="909"/>
      <c r="BA6" s="314"/>
      <c r="BB6" s="213"/>
      <c r="BC6" s="909" t="s">
        <v>267</v>
      </c>
      <c r="BD6" s="909"/>
      <c r="BE6" s="909"/>
      <c r="BF6" s="909"/>
      <c r="BG6" s="909" t="s">
        <v>230</v>
      </c>
      <c r="BH6" s="909"/>
      <c r="BI6" s="909"/>
      <c r="BJ6" s="909"/>
      <c r="BK6" s="909"/>
      <c r="BL6" s="909" t="s">
        <v>231</v>
      </c>
      <c r="BM6" s="909"/>
      <c r="BN6" s="909"/>
      <c r="BO6" s="909"/>
      <c r="BP6" s="909"/>
      <c r="BQ6" s="909" t="s">
        <v>232</v>
      </c>
      <c r="BR6" s="909"/>
      <c r="BS6" s="909"/>
      <c r="BT6" s="909"/>
      <c r="BU6" s="909"/>
      <c r="BV6" s="909" t="s">
        <v>233</v>
      </c>
      <c r="BW6" s="909"/>
      <c r="BX6" s="909"/>
      <c r="BY6" s="909"/>
      <c r="BZ6" s="909"/>
      <c r="CD6" s="909" t="s">
        <v>268</v>
      </c>
      <c r="CE6" s="909"/>
      <c r="CF6" s="909"/>
      <c r="CG6" s="909"/>
      <c r="CH6" s="909"/>
      <c r="CI6" s="909" t="s">
        <v>270</v>
      </c>
      <c r="CJ6" s="909"/>
      <c r="CK6" s="909"/>
      <c r="CL6" s="909"/>
      <c r="CM6" s="909"/>
      <c r="CN6" s="909" t="s">
        <v>269</v>
      </c>
      <c r="CO6" s="909"/>
      <c r="CP6" s="909"/>
      <c r="CQ6" s="909"/>
      <c r="CR6" s="909"/>
      <c r="CS6" s="909" t="s">
        <v>271</v>
      </c>
      <c r="CT6" s="909"/>
      <c r="CU6" s="909"/>
      <c r="CV6" s="909"/>
      <c r="CW6" s="909"/>
      <c r="CX6" s="253"/>
      <c r="CZ6"/>
      <c r="DA6" s="682" t="s">
        <v>215</v>
      </c>
      <c r="DB6" s="682"/>
      <c r="DC6" s="682"/>
      <c r="DD6" s="682"/>
      <c r="DE6" s="682"/>
    </row>
    <row r="7" spans="1:118" ht="157" customHeight="1">
      <c r="A7" s="828" t="s">
        <v>289</v>
      </c>
      <c r="B7" s="829"/>
      <c r="C7" s="829"/>
      <c r="D7" s="830"/>
      <c r="E7" s="944"/>
      <c r="F7" s="945"/>
      <c r="G7" s="946"/>
      <c r="H7" s="910" t="s">
        <v>534</v>
      </c>
      <c r="I7" s="938"/>
      <c r="J7" s="940"/>
      <c r="K7" s="345" t="s">
        <v>581</v>
      </c>
      <c r="L7" s="345" t="s">
        <v>582</v>
      </c>
      <c r="M7" s="345" t="s">
        <v>583</v>
      </c>
      <c r="N7" s="911"/>
      <c r="O7" s="911"/>
      <c r="P7" s="911"/>
      <c r="Q7" s="911"/>
      <c r="R7" s="920"/>
      <c r="S7" s="539" t="s">
        <v>508</v>
      </c>
      <c r="T7" s="344" t="s">
        <v>313</v>
      </c>
      <c r="U7" s="344" t="s">
        <v>428</v>
      </c>
      <c r="V7" s="475" t="s">
        <v>470</v>
      </c>
      <c r="W7" s="475" t="s">
        <v>469</v>
      </c>
      <c r="X7" s="476" t="s">
        <v>425</v>
      </c>
      <c r="Y7" s="216" t="s">
        <v>282</v>
      </c>
      <c r="Z7" s="466" t="s">
        <v>283</v>
      </c>
      <c r="AA7" s="316" t="s">
        <v>214</v>
      </c>
      <c r="AB7" t="s">
        <v>137</v>
      </c>
      <c r="AC7" t="s">
        <v>140</v>
      </c>
      <c r="AD7" t="s">
        <v>139</v>
      </c>
      <c r="AE7" t="s">
        <v>138</v>
      </c>
      <c r="AF7" t="s">
        <v>444</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266</v>
      </c>
      <c r="BD7" t="s">
        <v>265</v>
      </c>
      <c r="BE7" t="s">
        <v>251</v>
      </c>
      <c r="BF7" t="s">
        <v>252</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254</v>
      </c>
      <c r="CC7" s="316" t="s">
        <v>255</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280</v>
      </c>
      <c r="CY7" s="253" t="s">
        <v>272</v>
      </c>
      <c r="CZ7" s="253" t="s">
        <v>273</v>
      </c>
      <c r="DA7" s="253" t="s">
        <v>274</v>
      </c>
      <c r="DB7" s="253" t="s">
        <v>275</v>
      </c>
      <c r="DC7" s="253" t="s">
        <v>276</v>
      </c>
      <c r="DD7" s="253" t="s">
        <v>277</v>
      </c>
      <c r="DE7" s="253" t="s">
        <v>278</v>
      </c>
      <c r="DF7" s="253" t="s">
        <v>279</v>
      </c>
      <c r="DG7" s="253"/>
    </row>
    <row r="8" spans="1:118" ht="20" customHeight="1">
      <c r="A8" s="831"/>
      <c r="B8" s="832"/>
      <c r="C8" s="832"/>
      <c r="D8" s="833"/>
      <c r="E8" s="947"/>
      <c r="F8" s="948"/>
      <c r="G8" s="949"/>
      <c r="H8" s="911"/>
      <c r="I8" s="931" t="s">
        <v>409</v>
      </c>
      <c r="J8" s="918"/>
      <c r="K8" s="931" t="s">
        <v>346</v>
      </c>
      <c r="L8" s="917"/>
      <c r="M8" s="917"/>
      <c r="N8" s="917"/>
      <c r="O8" s="917"/>
      <c r="P8" s="917"/>
      <c r="Q8" s="917"/>
      <c r="R8" s="917"/>
      <c r="S8" s="916" t="s">
        <v>409</v>
      </c>
      <c r="T8" s="917"/>
      <c r="U8" s="918"/>
      <c r="V8" s="998" t="s">
        <v>410</v>
      </c>
      <c r="W8" s="999"/>
      <c r="X8" s="1000"/>
      <c r="Y8" s="216"/>
      <c r="Z8" s="466"/>
      <c r="AA8" s="316"/>
      <c r="BB8" s="232"/>
      <c r="CA8" s="116"/>
      <c r="CB8" s="238"/>
      <c r="CC8" s="316"/>
      <c r="CX8" s="253"/>
      <c r="DA8" s="253"/>
      <c r="DB8" s="253"/>
      <c r="DC8" s="253"/>
      <c r="DD8" s="253"/>
      <c r="DE8" s="253"/>
      <c r="DF8" s="253"/>
      <c r="DG8" s="253"/>
      <c r="DH8" t="s">
        <v>543</v>
      </c>
      <c r="DI8" t="s">
        <v>544</v>
      </c>
      <c r="DJ8" t="s">
        <v>545</v>
      </c>
    </row>
    <row r="9" spans="1:118">
      <c r="A9" s="249">
        <f>IF(ISNUMBER(A7),A7+1,1)</f>
        <v>1</v>
      </c>
      <c r="B9" s="132" t="str">
        <f t="shared" ref="B9:B38" si="0">CHOOSE(MOD(WEEKDAY(DATE(A$6,A$2,A9)),7)+1,"lø","sø","ma","ti","on","to","fr",)</f>
        <v>ma</v>
      </c>
      <c r="C9" s="133" t="s">
        <v>120</v>
      </c>
      <c r="D9" s="134">
        <f t="shared" ref="D9:D38" si="1">IF(B9="ma",(DATE(A$6,A$2,A9)-DATE(A$6,1,1)+7)/7,"")</f>
        <v>14</v>
      </c>
      <c r="E9" s="871" t="s">
        <v>319</v>
      </c>
      <c r="F9" s="872"/>
      <c r="G9" s="873"/>
      <c r="H9" s="313"/>
      <c r="I9" s="440"/>
      <c r="J9" s="440"/>
      <c r="K9" s="405"/>
      <c r="L9" s="405"/>
      <c r="M9" s="405"/>
      <c r="N9" s="334">
        <f>BA9</f>
        <v>0</v>
      </c>
      <c r="O9" s="334">
        <f>CA9</f>
        <v>0</v>
      </c>
      <c r="P9" s="334">
        <f>IF(Stamoplysninger!$H$29="JA",April!DG9,CX9)</f>
        <v>0</v>
      </c>
      <c r="Q9" s="334">
        <f>IF(OR(C9="Lejrskole",C9="Ekskursion"),0,N9-O9-P9)</f>
        <v>0</v>
      </c>
      <c r="R9" s="335"/>
      <c r="S9" s="341"/>
      <c r="T9" s="342"/>
      <c r="U9" s="342"/>
      <c r="V9" s="462"/>
      <c r="W9" s="336"/>
      <c r="X9" s="469"/>
      <c r="Y9">
        <f>IF($S$9="x",V9-N9,0)</f>
        <v>0</v>
      </c>
      <c r="Z9" s="467">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8" si="7">SUM(AG9:AK9)*24</f>
        <v>0</v>
      </c>
      <c r="BC9" s="1">
        <f>IF($C$9="Lejrskole",$L$9,0)</f>
        <v>0</v>
      </c>
      <c r="BD9" s="1">
        <f t="shared" ref="BD9:BD38" si="8">IF(C9="Ekskursion",L9,0)</f>
        <v>0</v>
      </c>
      <c r="BE9" s="1">
        <f t="shared" ref="BE9:BE38" si="9">IF(C9="fagdag",L9,0)</f>
        <v>0</v>
      </c>
      <c r="BF9" s="1">
        <f t="shared" ref="BF9:BF38" si="10">IF(C9="emnedag",L9,0)</f>
        <v>0</v>
      </c>
      <c r="BG9" s="214" t="str">
        <f>IF(AND($C$9="Skema 1",$B$9="ma"),Skemaoplysninger!E30,"")</f>
        <v/>
      </c>
      <c r="BH9" s="214" t="str">
        <f>IF(AND(C9="Skema 1",B9="ti"),Skemaoplysninger!$F$30,"")</f>
        <v/>
      </c>
      <c r="BI9" s="214" t="str">
        <f>IF(AND(C9="Skema 1",B9="on"),Skemaoplysninger!$G$30,"")</f>
        <v/>
      </c>
      <c r="BJ9" s="214" t="str">
        <f>IF(AND(C9="Skema 1",B9="to"),Skemaoplysninger!$H$30,"")</f>
        <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8" si="11">IF(C9="fagdag",M9,0)</f>
        <v>0</v>
      </c>
      <c r="CC9" s="1">
        <f t="shared" ref="CC9:CC38" si="12">IF(C9="emnedag",M9,0)</f>
        <v>0</v>
      </c>
      <c r="CD9" s="214" t="str">
        <f>IF(AND(C9="Skema 1",B9="ma"),Skemaoplysninger!$E$39,"")</f>
        <v/>
      </c>
      <c r="CE9" s="214" t="str">
        <f>IF(AND(C9="Skema 1",B9="ti"),Skemaoplysninger!$F$39,"")</f>
        <v/>
      </c>
      <c r="CF9" s="214" t="str">
        <f>IF(AND(C9="Skema 1",B9="on"),Skemaoplysninger!$G$39,"")</f>
        <v/>
      </c>
      <c r="CG9" s="214" t="str">
        <f>IF(AND(C9="Skema 1",B9="to"),Skemaoplysninger!$H$39,"")</f>
        <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t="str">
        <f>IF(H9="",E9,"")</f>
        <v>2. påskedag</v>
      </c>
      <c r="DJ9" t="str">
        <f>IF(E9="",H9,"")</f>
        <v/>
      </c>
      <c r="DK9" t="str">
        <f t="shared" ref="DK9:DM38" si="13">IF(DH9=0,"",DH9)</f>
        <v/>
      </c>
      <c r="DL9" t="str">
        <f>IF(DI9=0,"",DI9)</f>
        <v>2. påskedag</v>
      </c>
      <c r="DM9" t="str">
        <f>IF(DJ9=0,"",DJ9)</f>
        <v/>
      </c>
      <c r="DN9" t="str">
        <f>DK9&amp;""&amp;DL9&amp;""&amp;DM9</f>
        <v>2. påskedag</v>
      </c>
    </row>
    <row r="10" spans="1:118">
      <c r="A10" s="249">
        <f t="shared" ref="A10:A38" si="14">IF(ISNUMBER(A9),A9+1,1)</f>
        <v>2</v>
      </c>
      <c r="B10" s="132" t="str">
        <f t="shared" si="0"/>
        <v>ti</v>
      </c>
      <c r="C10" s="133" t="s">
        <v>209</v>
      </c>
      <c r="D10" s="134" t="str">
        <f t="shared" si="1"/>
        <v/>
      </c>
      <c r="E10" s="871"/>
      <c r="F10" s="872"/>
      <c r="G10" s="873"/>
      <c r="H10" s="313"/>
      <c r="I10" s="582"/>
      <c r="J10" s="440"/>
      <c r="K10" s="405"/>
      <c r="L10" s="405"/>
      <c r="M10" s="405"/>
      <c r="N10" s="334">
        <f t="shared" ref="N10:N38" si="15">BA10</f>
        <v>0</v>
      </c>
      <c r="O10" s="334">
        <f t="shared" ref="O10:O38" si="16">CA10</f>
        <v>0</v>
      </c>
      <c r="P10" s="334">
        <f>IF(Stamoplysninger!$H$29="JA",April!DG10,CX10)</f>
        <v>0</v>
      </c>
      <c r="Q10" s="334">
        <f t="shared" ref="Q10:Q38" si="17">IF(OR(C10="Lejrskole",C10="Ekskursion"),0,N10-O10-P10)</f>
        <v>0</v>
      </c>
      <c r="R10" s="335"/>
      <c r="S10" s="341"/>
      <c r="T10" s="342"/>
      <c r="U10" s="342"/>
      <c r="V10" s="462"/>
      <c r="W10" s="336"/>
      <c r="X10" s="469"/>
      <c r="Y10">
        <f t="shared" ref="Y10:Y38" si="18">IF(S10="x",V10-N10,0)</f>
        <v>0</v>
      </c>
      <c r="Z10" s="467">
        <f t="shared" ref="Z10:Z38" si="19">W10</f>
        <v>0</v>
      </c>
      <c r="AA10" s="1">
        <f t="shared" si="2"/>
        <v>0</v>
      </c>
      <c r="AB10" s="1">
        <f t="shared" si="3"/>
        <v>0</v>
      </c>
      <c r="AC10" s="1">
        <f t="shared" si="4"/>
        <v>0</v>
      </c>
      <c r="AD10" s="1">
        <f t="shared" si="5"/>
        <v>0</v>
      </c>
      <c r="AE10" s="1">
        <f t="shared" si="6"/>
        <v>0</v>
      </c>
      <c r="AF10" s="1">
        <f>IF(C10="Orlov",7.4*Stamoplysninger!$E$15,0)</f>
        <v>0</v>
      </c>
      <c r="AG10" t="str">
        <f>IF(AND(C10="Skema 1",B10="ma"),Arbejdstidsoversigt!$E$44,"")</f>
        <v/>
      </c>
      <c r="AH10">
        <f>IF(AND(C10="Skema 1",B10="ti"),Arbejdstidsoversigt!$E$45,"")</f>
        <v>0</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8" si="20">SUM(AA10:AZ10)</f>
        <v>0</v>
      </c>
      <c r="BB10" s="233">
        <f t="shared" si="7"/>
        <v>0</v>
      </c>
      <c r="BC10" s="1">
        <f t="shared" ref="BC10:BC38" si="21">IF(C10="Lejrskole",L10,0)</f>
        <v>0</v>
      </c>
      <c r="BD10" s="1">
        <f t="shared" si="8"/>
        <v>0</v>
      </c>
      <c r="BE10" s="1">
        <f t="shared" si="9"/>
        <v>0</v>
      </c>
      <c r="BF10" s="1">
        <f t="shared" si="10"/>
        <v>0</v>
      </c>
      <c r="BG10" s="214" t="str">
        <f>IF(AND(C10="Skema 1",B10="ma"),Skemaoplysninger!$E$30,"")</f>
        <v/>
      </c>
      <c r="BH10" s="214">
        <f>IF(AND(C10="Skema 1",B10="ti"),Skemaoplysninger!$F$30,"")</f>
        <v>0</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8" si="22">SUM(BG10:BZ10)*24+SUM(BC10:BF10)</f>
        <v>0</v>
      </c>
      <c r="CB10" s="1">
        <f t="shared" si="11"/>
        <v>0</v>
      </c>
      <c r="CC10" s="1">
        <f t="shared" si="12"/>
        <v>0</v>
      </c>
      <c r="CD10" s="214" t="str">
        <f>IF(AND(C10="Skema 1",B10="ma"),Skemaoplysninger!$E$39,"")</f>
        <v/>
      </c>
      <c r="CE10" s="214">
        <f>IF(AND(C10="Skema 1",B10="ti"),Skemaoplysninger!$F$39,"")</f>
        <v>0</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8" si="23">SUM(CY10:DF10)</f>
        <v>0</v>
      </c>
      <c r="DH10" t="str">
        <f t="shared" ref="DH10:DH38" si="24">IF(AND(E10&gt;0,H10&gt;0),""&amp;E10&amp;" og "&amp;H10&amp;"","")</f>
        <v/>
      </c>
      <c r="DI10">
        <f t="shared" ref="DI10:DI38" si="25">IF(H10="",E10,"")</f>
        <v>0</v>
      </c>
      <c r="DJ10">
        <f t="shared" ref="DJ10:DJ38" si="26">IF(E10="",H10,"")</f>
        <v>0</v>
      </c>
      <c r="DK10" t="str">
        <f t="shared" si="13"/>
        <v/>
      </c>
      <c r="DL10" t="str">
        <f t="shared" si="13"/>
        <v/>
      </c>
      <c r="DM10" t="str">
        <f t="shared" si="13"/>
        <v/>
      </c>
      <c r="DN10" t="str">
        <f t="shared" ref="DN10:DN38" si="27">DK10&amp;""&amp;DL10&amp;""&amp;DM10</f>
        <v/>
      </c>
    </row>
    <row r="11" spans="1:118">
      <c r="A11" s="249">
        <f t="shared" si="14"/>
        <v>3</v>
      </c>
      <c r="B11" s="132" t="str">
        <f t="shared" si="0"/>
        <v>on</v>
      </c>
      <c r="C11" s="133" t="s">
        <v>209</v>
      </c>
      <c r="D11" s="134" t="str">
        <f t="shared" si="1"/>
        <v/>
      </c>
      <c r="E11" s="871"/>
      <c r="F11" s="872"/>
      <c r="G11" s="873"/>
      <c r="H11" s="313"/>
      <c r="I11" s="582"/>
      <c r="J11" s="440"/>
      <c r="K11" s="405"/>
      <c r="L11" s="405"/>
      <c r="M11" s="405"/>
      <c r="N11" s="334">
        <f t="shared" si="15"/>
        <v>0</v>
      </c>
      <c r="O11" s="334">
        <f t="shared" si="16"/>
        <v>0</v>
      </c>
      <c r="P11" s="334">
        <f>IF(Stamoplysninger!$H$29="JA",April!DG11,CX11)</f>
        <v>0</v>
      </c>
      <c r="Q11" s="334">
        <f t="shared" si="17"/>
        <v>0</v>
      </c>
      <c r="R11" s="335"/>
      <c r="S11" s="341"/>
      <c r="T11" s="342"/>
      <c r="U11" s="342"/>
      <c r="V11" s="462"/>
      <c r="W11" s="336"/>
      <c r="X11" s="469"/>
      <c r="Y11">
        <f t="shared" si="18"/>
        <v>0</v>
      </c>
      <c r="Z11" s="467">
        <f t="shared" si="19"/>
        <v>0</v>
      </c>
      <c r="AA11" s="1">
        <f t="shared" si="2"/>
        <v>0</v>
      </c>
      <c r="AB11" s="1">
        <f t="shared" si="3"/>
        <v>0</v>
      </c>
      <c r="AC11" s="1">
        <f t="shared" si="4"/>
        <v>0</v>
      </c>
      <c r="AD11" s="1">
        <f t="shared" si="5"/>
        <v>0</v>
      </c>
      <c r="AE11" s="1">
        <f t="shared" si="6"/>
        <v>0</v>
      </c>
      <c r="AF11" s="1">
        <f>IF(C11="Orlov",7.4*Stamoplysninger!$E$15,0)</f>
        <v>0</v>
      </c>
      <c r="AG11" t="str">
        <f>IF(AND(C11="Skema 1",B11="ma"),Arbejdstidsoversigt!$E$44,"")</f>
        <v/>
      </c>
      <c r="AH11" t="str">
        <f>IF(AND(C11="Skema 1",B11="ti"),Arbejdstidsoversigt!$E$45,"")</f>
        <v/>
      </c>
      <c r="AI11">
        <f>IF(AND(C11="Skema 1",B11="on"),Arbejdstidsoversigt!$E$46,"")</f>
        <v>0</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7"/>
        <v>0</v>
      </c>
      <c r="BC11" s="1">
        <f t="shared" si="21"/>
        <v>0</v>
      </c>
      <c r="BD11" s="1">
        <f t="shared" si="8"/>
        <v>0</v>
      </c>
      <c r="BE11" s="1">
        <f t="shared" si="9"/>
        <v>0</v>
      </c>
      <c r="BF11" s="1">
        <f t="shared" si="10"/>
        <v>0</v>
      </c>
      <c r="BG11" s="214" t="str">
        <f>IF(AND(C11="Skema 1",B11="ma"),Skemaoplysninger!$E$30,"")</f>
        <v/>
      </c>
      <c r="BH11" s="214" t="str">
        <f>IF(AND(C11="Skema 1",B11="ti"),Skemaoplysninger!$F$30,"")</f>
        <v/>
      </c>
      <c r="BI11" s="214">
        <f>IF(AND(C11="Skema 1",B11="on"),Skemaoplysninger!$G$30,"")</f>
        <v>0</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1"/>
        <v>0</v>
      </c>
      <c r="CC11" s="1">
        <f t="shared" si="12"/>
        <v>0</v>
      </c>
      <c r="CD11" s="214" t="str">
        <f>IF(AND(C11="Skema 1",B11="ma"),Skemaoplysninger!$E$39,"")</f>
        <v/>
      </c>
      <c r="CE11" s="214" t="str">
        <f>IF(AND(C11="Skema 1",B11="ti"),Skemaoplysninger!$F$39,"")</f>
        <v/>
      </c>
      <c r="CF11" s="214">
        <f>IF(AND(C11="Skema 1",B11="on"),Skemaoplysninger!$G$39,"")</f>
        <v>0</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3"/>
        <v/>
      </c>
      <c r="DL11" t="str">
        <f t="shared" si="13"/>
        <v/>
      </c>
      <c r="DM11" t="str">
        <f t="shared" si="13"/>
        <v/>
      </c>
      <c r="DN11" t="str">
        <f t="shared" si="27"/>
        <v/>
      </c>
    </row>
    <row r="12" spans="1:118">
      <c r="A12" s="249">
        <f t="shared" si="14"/>
        <v>4</v>
      </c>
      <c r="B12" s="132" t="str">
        <f t="shared" si="0"/>
        <v>to</v>
      </c>
      <c r="C12" s="133" t="s">
        <v>209</v>
      </c>
      <c r="D12" s="134" t="str">
        <f t="shared" si="1"/>
        <v/>
      </c>
      <c r="E12" s="871"/>
      <c r="F12" s="872"/>
      <c r="G12" s="873"/>
      <c r="H12" s="313"/>
      <c r="I12" s="582"/>
      <c r="J12" s="440"/>
      <c r="K12" s="405"/>
      <c r="L12" s="405"/>
      <c r="M12" s="405"/>
      <c r="N12" s="334">
        <f t="shared" si="15"/>
        <v>0</v>
      </c>
      <c r="O12" s="334">
        <f t="shared" si="16"/>
        <v>0</v>
      </c>
      <c r="P12" s="334">
        <f>IF(Stamoplysninger!$H$29="JA",April!DG12,CX12)</f>
        <v>0</v>
      </c>
      <c r="Q12" s="334">
        <f t="shared" si="17"/>
        <v>0</v>
      </c>
      <c r="R12" s="335"/>
      <c r="S12" s="341"/>
      <c r="T12" s="342"/>
      <c r="U12" s="342"/>
      <c r="V12" s="462"/>
      <c r="W12" s="336"/>
      <c r="X12" s="469"/>
      <c r="Y12">
        <f t="shared" si="18"/>
        <v>0</v>
      </c>
      <c r="Z12" s="467">
        <f t="shared" si="19"/>
        <v>0</v>
      </c>
      <c r="AA12" s="1">
        <f t="shared" si="2"/>
        <v>0</v>
      </c>
      <c r="AB12" s="1">
        <f t="shared" si="3"/>
        <v>0</v>
      </c>
      <c r="AC12" s="1">
        <f t="shared" si="4"/>
        <v>0</v>
      </c>
      <c r="AD12" s="1">
        <f t="shared" si="5"/>
        <v>0</v>
      </c>
      <c r="AE12" s="1">
        <f t="shared" si="6"/>
        <v>0</v>
      </c>
      <c r="AF12" s="1">
        <f>IF(C12="Orlov",7.4*Stamoplysninger!$E$15,0)</f>
        <v>0</v>
      </c>
      <c r="AG12" t="str">
        <f>IF(AND(C12="Skema 1",B12="ma"),Arbejdstidsoversigt!$E$44,"")</f>
        <v/>
      </c>
      <c r="AH12" t="str">
        <f>IF(AND(C12="Skema 1",B12="ti"),Arbejdstidsoversigt!$E$45,"")</f>
        <v/>
      </c>
      <c r="AI12" t="str">
        <f>IF(AND(C12="Skema 1",B12="on"),Arbejdstidsoversigt!$E$46,"")</f>
        <v/>
      </c>
      <c r="AJ12">
        <f>IF(AND(C12="Skema 1",B12="to"),Arbejdstidsoversigt!$E$47,"")</f>
        <v>0</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7"/>
        <v>0</v>
      </c>
      <c r="BC12" s="1">
        <f t="shared" si="21"/>
        <v>0</v>
      </c>
      <c r="BD12" s="1">
        <f t="shared" si="8"/>
        <v>0</v>
      </c>
      <c r="BE12" s="1">
        <f t="shared" si="9"/>
        <v>0</v>
      </c>
      <c r="BF12" s="1">
        <f t="shared" si="10"/>
        <v>0</v>
      </c>
      <c r="BG12" s="214" t="str">
        <f>IF(AND(C12="Skema 1",B12="ma"),Skemaoplysninger!$E$30,"")</f>
        <v/>
      </c>
      <c r="BH12" s="214" t="str">
        <f>IF(AND(C12="Skema 1",B12="ti"),Skemaoplysninger!$F$30,"")</f>
        <v/>
      </c>
      <c r="BI12" s="214" t="str">
        <f>IF(AND(C12="Skema 1",B12="on"),Skemaoplysninger!$G$30,"")</f>
        <v/>
      </c>
      <c r="BJ12" s="214">
        <f>IF(AND(C12="Skema 1",B12="to"),Skemaoplysninger!$H$30,"")</f>
        <v>0</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1"/>
        <v>0</v>
      </c>
      <c r="CC12" s="1">
        <f t="shared" si="12"/>
        <v>0</v>
      </c>
      <c r="CD12" s="214" t="str">
        <f>IF(AND(C12="Skema 1",B12="ma"),Skemaoplysninger!$E$39,"")</f>
        <v/>
      </c>
      <c r="CE12" s="214" t="str">
        <f>IF(AND(C12="Skema 1",B12="ti"),Skemaoplysninger!$F$39,"")</f>
        <v/>
      </c>
      <c r="CF12" s="214" t="str">
        <f>IF(AND(C12="Skema 1",B12="on"),Skemaoplysninger!$G$39,"")</f>
        <v/>
      </c>
      <c r="CG12" s="214">
        <f>IF(AND(C12="Skema 1",B12="to"),Skemaoplysninger!$H$39,"")</f>
        <v>0</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3"/>
        <v/>
      </c>
      <c r="DL12" t="str">
        <f t="shared" si="13"/>
        <v/>
      </c>
      <c r="DM12" t="str">
        <f t="shared" si="13"/>
        <v/>
      </c>
      <c r="DN12" t="str">
        <f t="shared" si="27"/>
        <v/>
      </c>
    </row>
    <row r="13" spans="1:118">
      <c r="A13" s="249">
        <f t="shared" si="14"/>
        <v>5</v>
      </c>
      <c r="B13" s="132" t="str">
        <f t="shared" si="0"/>
        <v>fr</v>
      </c>
      <c r="C13" s="133" t="s">
        <v>209</v>
      </c>
      <c r="D13" s="134" t="str">
        <f t="shared" si="1"/>
        <v/>
      </c>
      <c r="E13" s="871"/>
      <c r="F13" s="872"/>
      <c r="G13" s="873"/>
      <c r="H13" s="313"/>
      <c r="I13" s="582"/>
      <c r="J13" s="440"/>
      <c r="K13" s="405"/>
      <c r="L13" s="405"/>
      <c r="M13" s="405"/>
      <c r="N13" s="334">
        <f t="shared" si="15"/>
        <v>0</v>
      </c>
      <c r="O13" s="334">
        <f t="shared" si="16"/>
        <v>0</v>
      </c>
      <c r="P13" s="334">
        <f>IF(Stamoplysninger!$H$29="JA",April!DG13,CX13)</f>
        <v>0</v>
      </c>
      <c r="Q13" s="334">
        <f t="shared" si="17"/>
        <v>0</v>
      </c>
      <c r="R13" s="335"/>
      <c r="S13" s="341"/>
      <c r="T13" s="342"/>
      <c r="U13" s="342"/>
      <c r="V13" s="462"/>
      <c r="W13" s="336"/>
      <c r="X13" s="469"/>
      <c r="Y13">
        <f t="shared" si="18"/>
        <v>0</v>
      </c>
      <c r="Z13" s="467">
        <f t="shared" si="19"/>
        <v>0</v>
      </c>
      <c r="AA13" s="1">
        <f t="shared" si="2"/>
        <v>0</v>
      </c>
      <c r="AB13" s="1">
        <f t="shared" si="3"/>
        <v>0</v>
      </c>
      <c r="AC13" s="1">
        <f t="shared" si="4"/>
        <v>0</v>
      </c>
      <c r="AD13" s="1">
        <f t="shared" si="5"/>
        <v>0</v>
      </c>
      <c r="AE13" s="1">
        <f t="shared" si="6"/>
        <v>0</v>
      </c>
      <c r="AF13" s="1">
        <f>IF(C13="Orlov",7.4*Stamoplysninger!$E$15,0)</f>
        <v>0</v>
      </c>
      <c r="AG13" t="str">
        <f>IF(AND(C13="Skema 1",B13="ma"),Arbejdstidsoversigt!$E$44,"")</f>
        <v/>
      </c>
      <c r="AH13" t="str">
        <f>IF(AND(C13="Skema 1",B13="ti"),Arbejdstidsoversigt!$E$45,"")</f>
        <v/>
      </c>
      <c r="AI13" t="str">
        <f>IF(AND(C13="Skema 1",B13="on"),Arbejdstidsoversigt!$E$46,"")</f>
        <v/>
      </c>
      <c r="AJ13" t="str">
        <f>IF(AND(C13="Skema 1",B13="to"),Arbejdstidsoversigt!$E$47,"")</f>
        <v/>
      </c>
      <c r="AK13">
        <f>IF(AND(C13="Skema 1",B13="fr"),Arbejdstidsoversigt!$E$48,"")</f>
        <v>0</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0</v>
      </c>
      <c r="BB13" s="233">
        <f t="shared" si="7"/>
        <v>0</v>
      </c>
      <c r="BC13" s="1">
        <f t="shared" si="21"/>
        <v>0</v>
      </c>
      <c r="BD13" s="1">
        <f t="shared" si="8"/>
        <v>0</v>
      </c>
      <c r="BE13" s="1">
        <f t="shared" si="9"/>
        <v>0</v>
      </c>
      <c r="BF13" s="1">
        <f t="shared" si="10"/>
        <v>0</v>
      </c>
      <c r="BG13" s="214" t="str">
        <f>IF(AND(C13="Skema 1",B13="ma"),Skemaoplysninger!$E$30,"")</f>
        <v/>
      </c>
      <c r="BH13" s="214" t="str">
        <f>IF(AND(C13="Skema 1",B13="ti"),Skemaoplysninger!$F$30,"")</f>
        <v/>
      </c>
      <c r="BI13" s="214" t="str">
        <f>IF(AND(C13="Skema 1",B13="on"),Skemaoplysninger!$G$30,"")</f>
        <v/>
      </c>
      <c r="BJ13" s="214" t="str">
        <f>IF(AND(C13="Skema 1",B13="to"),Skemaoplysninger!$H$30,"")</f>
        <v/>
      </c>
      <c r="BK13" s="214">
        <f>IF(AND(C13="Skema 1",B13="fr"),Skemaoplysninger!$I$30,"")</f>
        <v>0</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1"/>
        <v>0</v>
      </c>
      <c r="CC13" s="1">
        <f t="shared" si="12"/>
        <v>0</v>
      </c>
      <c r="CD13" s="214" t="str">
        <f>IF(AND(C13="Skema 1",B13="ma"),Skemaoplysninger!$E$39,"")</f>
        <v/>
      </c>
      <c r="CE13" s="214" t="str">
        <f>IF(AND(C13="Skema 1",B13="ti"),Skemaoplysninger!$F$39,"")</f>
        <v/>
      </c>
      <c r="CF13" s="214" t="str">
        <f>IF(AND(C13="Skema 1",B13="on"),Skemaoplysninger!$G$39,"")</f>
        <v/>
      </c>
      <c r="CG13" s="214" t="str">
        <f>IF(AND(C13="Skema 1",B13="to"),Skemaoplysninger!$H$39,"")</f>
        <v/>
      </c>
      <c r="CH13" s="214">
        <f>IF(AND(C13="Skema 1",B13="fr"),Skemaoplysninger!$I$39,"")</f>
        <v>0</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3"/>
        <v/>
      </c>
      <c r="DL13" t="str">
        <f t="shared" si="13"/>
        <v/>
      </c>
      <c r="DM13" t="str">
        <f t="shared" si="13"/>
        <v/>
      </c>
      <c r="DN13" t="str">
        <f t="shared" si="27"/>
        <v/>
      </c>
    </row>
    <row r="14" spans="1:118" ht="16" customHeight="1">
      <c r="A14" s="249">
        <f t="shared" si="14"/>
        <v>6</v>
      </c>
      <c r="B14" s="132" t="str">
        <f t="shared" si="0"/>
        <v>lø</v>
      </c>
      <c r="C14" s="133" t="s">
        <v>121</v>
      </c>
      <c r="D14" s="134" t="str">
        <f t="shared" si="1"/>
        <v/>
      </c>
      <c r="E14" s="871"/>
      <c r="F14" s="872"/>
      <c r="G14" s="873"/>
      <c r="H14" s="313"/>
      <c r="I14" s="440"/>
      <c r="J14" s="440"/>
      <c r="K14" s="405"/>
      <c r="L14" s="405"/>
      <c r="M14" s="405"/>
      <c r="N14" s="334">
        <f t="shared" si="15"/>
        <v>0</v>
      </c>
      <c r="O14" s="334">
        <f t="shared" si="16"/>
        <v>0</v>
      </c>
      <c r="P14" s="334">
        <f>IF(Stamoplysninger!$H$29="JA",April!DG14,CX14)</f>
        <v>0</v>
      </c>
      <c r="Q14" s="334">
        <f t="shared" si="17"/>
        <v>0</v>
      </c>
      <c r="R14" s="335"/>
      <c r="S14" s="341"/>
      <c r="T14" s="342"/>
      <c r="U14" s="342"/>
      <c r="V14" s="462"/>
      <c r="W14" s="336"/>
      <c r="X14" s="469"/>
      <c r="Y14">
        <f t="shared" si="18"/>
        <v>0</v>
      </c>
      <c r="Z14" s="467">
        <f t="shared" si="19"/>
        <v>0</v>
      </c>
      <c r="AA14" s="1">
        <f t="shared" si="2"/>
        <v>0</v>
      </c>
      <c r="AB14" s="1">
        <f t="shared" si="3"/>
        <v>0</v>
      </c>
      <c r="AC14" s="1">
        <f t="shared" si="4"/>
        <v>0</v>
      </c>
      <c r="AD14" s="1">
        <f t="shared" si="5"/>
        <v>0</v>
      </c>
      <c r="AE14" s="1">
        <f t="shared" si="6"/>
        <v>0</v>
      </c>
      <c r="AF14" s="1">
        <f>IF(C14="Orlov",7.4*Stamoplysninger!$E$15,0)</f>
        <v>0</v>
      </c>
      <c r="AG14" t="str">
        <f>IF(AND(C14="Skema 1",B14="ma"),Arbejdstidsoversigt!$E$44,"")</f>
        <v/>
      </c>
      <c r="AH14" t="str">
        <f>IF(AND(C14="Skema 1",B14="ti"),Arbejdstidsoversigt!$E$45,"")</f>
        <v/>
      </c>
      <c r="AI14" t="str">
        <f>IF(AND(C14="Skema 1",B14="on"),Arbejdstidsoversigt!$E$46,"")</f>
        <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0</v>
      </c>
      <c r="BB14" s="233">
        <f t="shared" si="7"/>
        <v>0</v>
      </c>
      <c r="BC14" s="1">
        <f t="shared" si="21"/>
        <v>0</v>
      </c>
      <c r="BD14" s="1">
        <f t="shared" si="8"/>
        <v>0</v>
      </c>
      <c r="BE14" s="1">
        <f t="shared" si="9"/>
        <v>0</v>
      </c>
      <c r="BF14" s="1">
        <f t="shared" si="10"/>
        <v>0</v>
      </c>
      <c r="BG14" s="214" t="str">
        <f>IF(AND(C14="Skema 1",B14="ma"),Skemaoplysninger!$E$30,"")</f>
        <v/>
      </c>
      <c r="BH14" s="214" t="str">
        <f>IF(AND(C14="Skema 1",B14="ti"),Skemaoplysninger!$F$30,"")</f>
        <v/>
      </c>
      <c r="BI14" s="214" t="str">
        <f>IF(AND(C14="Skema 1",B14="on"),Skemaoplysninger!$G$30,"")</f>
        <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1"/>
        <v>0</v>
      </c>
      <c r="CC14" s="1">
        <f t="shared" si="12"/>
        <v>0</v>
      </c>
      <c r="CD14" s="214" t="str">
        <f>IF(AND(C14="Skema 1",B14="ma"),Skemaoplysninger!$E$39,"")</f>
        <v/>
      </c>
      <c r="CE14" s="214" t="str">
        <f>IF(AND(C14="Skema 1",B14="ti"),Skemaoplysninger!$F$39,"")</f>
        <v/>
      </c>
      <c r="CF14" s="214" t="str">
        <f>IF(AND(C14="Skema 1",B14="on"),Skemaoplysninger!$G$39,"")</f>
        <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3"/>
        <v/>
      </c>
      <c r="DL14" t="str">
        <f t="shared" si="13"/>
        <v/>
      </c>
      <c r="DM14" t="str">
        <f t="shared" si="13"/>
        <v/>
      </c>
      <c r="DN14" t="str">
        <f t="shared" si="27"/>
        <v/>
      </c>
    </row>
    <row r="15" spans="1:118" ht="16" customHeight="1">
      <c r="A15" s="249">
        <f t="shared" si="14"/>
        <v>7</v>
      </c>
      <c r="B15" s="132" t="str">
        <f t="shared" si="0"/>
        <v>sø</v>
      </c>
      <c r="C15" s="133" t="s">
        <v>121</v>
      </c>
      <c r="D15" s="134" t="str">
        <f t="shared" si="1"/>
        <v/>
      </c>
      <c r="E15" s="871"/>
      <c r="F15" s="872"/>
      <c r="G15" s="873"/>
      <c r="H15" s="313"/>
      <c r="I15" s="440"/>
      <c r="J15" s="440"/>
      <c r="K15" s="405"/>
      <c r="L15" s="405"/>
      <c r="M15" s="405"/>
      <c r="N15" s="334">
        <f t="shared" si="15"/>
        <v>0</v>
      </c>
      <c r="O15" s="334">
        <f t="shared" si="16"/>
        <v>0</v>
      </c>
      <c r="P15" s="334">
        <f>IF(Stamoplysninger!$H$29="JA",April!DG15,CX15)</f>
        <v>0</v>
      </c>
      <c r="Q15" s="334">
        <f t="shared" si="17"/>
        <v>0</v>
      </c>
      <c r="R15" s="335"/>
      <c r="S15" s="341"/>
      <c r="T15" s="342"/>
      <c r="U15" s="342"/>
      <c r="V15" s="462"/>
      <c r="W15" s="336"/>
      <c r="X15" s="469"/>
      <c r="Y15">
        <f t="shared" si="18"/>
        <v>0</v>
      </c>
      <c r="Z15" s="467">
        <f t="shared" si="19"/>
        <v>0</v>
      </c>
      <c r="AA15" s="1">
        <f t="shared" si="2"/>
        <v>0</v>
      </c>
      <c r="AB15" s="1">
        <f t="shared" si="3"/>
        <v>0</v>
      </c>
      <c r="AC15" s="1">
        <f t="shared" si="4"/>
        <v>0</v>
      </c>
      <c r="AD15" s="1">
        <f t="shared" si="5"/>
        <v>0</v>
      </c>
      <c r="AE15" s="1">
        <f t="shared" si="6"/>
        <v>0</v>
      </c>
      <c r="AF15" s="1">
        <f>IF(C15="Orlov",7.4*Stamoplysninger!$E$15,0)</f>
        <v>0</v>
      </c>
      <c r="AG15" t="str">
        <f>IF(AND(C15="Skema 1",B15="ma"),Arbejdstidsoversigt!$E$44,"")</f>
        <v/>
      </c>
      <c r="AH15" t="str">
        <f>IF(AND(C15="Skema 1",B15="ti"),Arbejdstidsoversigt!$E$45,"")</f>
        <v/>
      </c>
      <c r="AI15" t="str">
        <f>IF(AND(C15="Skema 1",B15="on"),Arbejdstidsoversigt!$E$46,"")</f>
        <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7"/>
        <v>0</v>
      </c>
      <c r="BC15" s="1">
        <f t="shared" si="21"/>
        <v>0</v>
      </c>
      <c r="BD15" s="1">
        <f t="shared" si="8"/>
        <v>0</v>
      </c>
      <c r="BE15" s="1">
        <f t="shared" si="9"/>
        <v>0</v>
      </c>
      <c r="BF15" s="1">
        <f t="shared" si="10"/>
        <v>0</v>
      </c>
      <c r="BG15" s="214" t="str">
        <f>IF(AND(C15="Skema 1",B15="ma"),Skemaoplysninger!$E$30,"")</f>
        <v/>
      </c>
      <c r="BH15" s="214" t="str">
        <f>IF(AND(C15="Skema 1",B15="ti"),Skemaoplysninger!$F$30,"")</f>
        <v/>
      </c>
      <c r="BI15" s="214" t="str">
        <f>IF(AND(C15="Skema 1",B15="on"),Skemaoplysninger!$G$30,"")</f>
        <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1"/>
        <v>0</v>
      </c>
      <c r="CC15" s="1">
        <f t="shared" si="12"/>
        <v>0</v>
      </c>
      <c r="CD15" s="214" t="str">
        <f>IF(AND(C15="Skema 1",B15="ma"),Skemaoplysninger!$E$39,"")</f>
        <v/>
      </c>
      <c r="CE15" s="214" t="str">
        <f>IF(AND(C15="Skema 1",B15="ti"),Skemaoplysninger!$F$39,"")</f>
        <v/>
      </c>
      <c r="CF15" s="214" t="str">
        <f>IF(AND(C15="Skema 1",B15="on"),Skemaoplysninger!$G$39,"")</f>
        <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3"/>
        <v/>
      </c>
      <c r="DL15" t="str">
        <f t="shared" si="13"/>
        <v/>
      </c>
      <c r="DM15" t="str">
        <f t="shared" si="13"/>
        <v/>
      </c>
      <c r="DN15" t="str">
        <f t="shared" si="27"/>
        <v/>
      </c>
    </row>
    <row r="16" spans="1:118">
      <c r="A16" s="249">
        <f t="shared" si="14"/>
        <v>8</v>
      </c>
      <c r="B16" s="132" t="str">
        <f t="shared" si="0"/>
        <v>ma</v>
      </c>
      <c r="C16" s="133" t="s">
        <v>209</v>
      </c>
      <c r="D16" s="134">
        <f t="shared" si="1"/>
        <v>15</v>
      </c>
      <c r="E16" s="871"/>
      <c r="F16" s="872"/>
      <c r="G16" s="873"/>
      <c r="H16" s="313"/>
      <c r="I16" s="582"/>
      <c r="J16" s="440"/>
      <c r="K16" s="405"/>
      <c r="L16" s="405"/>
      <c r="M16" s="405"/>
      <c r="N16" s="334">
        <f t="shared" si="15"/>
        <v>0</v>
      </c>
      <c r="O16" s="334">
        <f t="shared" si="16"/>
        <v>0</v>
      </c>
      <c r="P16" s="334">
        <f>IF(Stamoplysninger!$H$29="JA",April!DG16,CX16)</f>
        <v>0</v>
      </c>
      <c r="Q16" s="334">
        <f t="shared" si="17"/>
        <v>0</v>
      </c>
      <c r="R16" s="335"/>
      <c r="S16" s="341"/>
      <c r="T16" s="342"/>
      <c r="U16" s="342"/>
      <c r="V16" s="462"/>
      <c r="W16" s="336"/>
      <c r="X16" s="469"/>
      <c r="Y16">
        <f t="shared" si="18"/>
        <v>0</v>
      </c>
      <c r="Z16" s="467">
        <f t="shared" si="19"/>
        <v>0</v>
      </c>
      <c r="AA16" s="1">
        <f t="shared" si="2"/>
        <v>0</v>
      </c>
      <c r="AB16" s="1">
        <f t="shared" si="3"/>
        <v>0</v>
      </c>
      <c r="AC16" s="1">
        <f t="shared" si="4"/>
        <v>0</v>
      </c>
      <c r="AD16" s="1">
        <f t="shared" si="5"/>
        <v>0</v>
      </c>
      <c r="AE16" s="1">
        <f t="shared" si="6"/>
        <v>0</v>
      </c>
      <c r="AF16" s="1">
        <f>IF(C16="Orlov",7.4*Stamoplysninger!$E$15,0)</f>
        <v>0</v>
      </c>
      <c r="AG16">
        <f>IF(AND(C16="Skema 1",B16="ma"),Arbejdstidsoversigt!$E$44,"")</f>
        <v>0</v>
      </c>
      <c r="AH16" t="str">
        <f>IF(AND(C16="Skema 1",B16="ti"),Arbejdstidsoversigt!$E$45,"")</f>
        <v/>
      </c>
      <c r="AI16" t="str">
        <f>IF(AND(C16="Skema 1",B16="on"),Arbejdstidsoversigt!$E$46,"")</f>
        <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0</v>
      </c>
      <c r="BB16" s="233">
        <f t="shared" si="7"/>
        <v>0</v>
      </c>
      <c r="BC16" s="1">
        <f t="shared" si="21"/>
        <v>0</v>
      </c>
      <c r="BD16" s="1">
        <f t="shared" si="8"/>
        <v>0</v>
      </c>
      <c r="BE16" s="1">
        <f t="shared" si="9"/>
        <v>0</v>
      </c>
      <c r="BF16" s="1">
        <f t="shared" si="10"/>
        <v>0</v>
      </c>
      <c r="BG16" s="214">
        <f>IF(AND(C16="Skema 1",B16="ma"),Skemaoplysninger!$E$30,"")</f>
        <v>0</v>
      </c>
      <c r="BH16" s="214" t="str">
        <f>IF(AND(C16="Skema 1",B16="ti"),Skemaoplysninger!$F$30,"")</f>
        <v/>
      </c>
      <c r="BI16" s="214" t="str">
        <f>IF(AND(C16="Skema 1",B16="on"),Skemaoplysninger!$G$30,"")</f>
        <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1"/>
        <v>0</v>
      </c>
      <c r="CC16" s="1">
        <f t="shared" si="12"/>
        <v>0</v>
      </c>
      <c r="CD16" s="214">
        <f>IF(AND(C16="Skema 1",B16="ma"),Skemaoplysninger!$E$39,"")</f>
        <v>0</v>
      </c>
      <c r="CE16" s="214" t="str">
        <f>IF(AND(C16="Skema 1",B16="ti"),Skemaoplysninger!$F$39,"")</f>
        <v/>
      </c>
      <c r="CF16" s="214" t="str">
        <f>IF(AND(C16="Skema 1",B16="on"),Skemaoplysninger!$G$39,"")</f>
        <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3"/>
        <v/>
      </c>
      <c r="DL16" t="str">
        <f t="shared" si="13"/>
        <v/>
      </c>
      <c r="DM16" t="str">
        <f t="shared" si="13"/>
        <v/>
      </c>
      <c r="DN16" t="str">
        <f t="shared" si="27"/>
        <v/>
      </c>
    </row>
    <row r="17" spans="1:118">
      <c r="A17" s="249">
        <f t="shared" si="14"/>
        <v>9</v>
      </c>
      <c r="B17" s="132" t="str">
        <f t="shared" si="0"/>
        <v>ti</v>
      </c>
      <c r="C17" s="133" t="s">
        <v>209</v>
      </c>
      <c r="D17" s="134" t="str">
        <f t="shared" si="1"/>
        <v/>
      </c>
      <c r="E17" s="871"/>
      <c r="F17" s="872"/>
      <c r="G17" s="873"/>
      <c r="H17" s="313"/>
      <c r="I17" s="582"/>
      <c r="J17" s="440"/>
      <c r="K17" s="405"/>
      <c r="L17" s="405"/>
      <c r="M17" s="405"/>
      <c r="N17" s="334">
        <f t="shared" si="15"/>
        <v>0</v>
      </c>
      <c r="O17" s="334">
        <f t="shared" si="16"/>
        <v>0</v>
      </c>
      <c r="P17" s="334">
        <f>IF(Stamoplysninger!$H$29="JA",April!DG17,CX17)</f>
        <v>0</v>
      </c>
      <c r="Q17" s="334">
        <f t="shared" si="17"/>
        <v>0</v>
      </c>
      <c r="R17" s="335"/>
      <c r="S17" s="341"/>
      <c r="T17" s="342"/>
      <c r="U17" s="342"/>
      <c r="V17" s="462"/>
      <c r="W17" s="336"/>
      <c r="X17" s="469"/>
      <c r="Y17">
        <f t="shared" si="18"/>
        <v>0</v>
      </c>
      <c r="Z17" s="467">
        <f t="shared" si="19"/>
        <v>0</v>
      </c>
      <c r="AA17" s="1">
        <f t="shared" si="2"/>
        <v>0</v>
      </c>
      <c r="AB17" s="1">
        <f t="shared" si="3"/>
        <v>0</v>
      </c>
      <c r="AC17" s="1">
        <f t="shared" si="4"/>
        <v>0</v>
      </c>
      <c r="AD17" s="1">
        <f t="shared" si="5"/>
        <v>0</v>
      </c>
      <c r="AE17" s="1">
        <f t="shared" si="6"/>
        <v>0</v>
      </c>
      <c r="AF17" s="1">
        <f>IF(C17="Orlov",7.4*Stamoplysninger!$E$15,0)</f>
        <v>0</v>
      </c>
      <c r="AG17" t="str">
        <f>IF(AND(C17="Skema 1",B17="ma"),Arbejdstidsoversigt!$E$44,"")</f>
        <v/>
      </c>
      <c r="AH17">
        <f>IF(AND(C17="Skema 1",B17="ti"),Arbejdstidsoversigt!$E$45,"")</f>
        <v>0</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7"/>
        <v>0</v>
      </c>
      <c r="BC17" s="1">
        <f t="shared" si="21"/>
        <v>0</v>
      </c>
      <c r="BD17" s="1">
        <f t="shared" si="8"/>
        <v>0</v>
      </c>
      <c r="BE17" s="1">
        <f t="shared" si="9"/>
        <v>0</v>
      </c>
      <c r="BF17" s="1">
        <f t="shared" si="10"/>
        <v>0</v>
      </c>
      <c r="BG17" s="214" t="str">
        <f>IF(AND(C17="Skema 1",B17="ma"),Skemaoplysninger!$E$30,"")</f>
        <v/>
      </c>
      <c r="BH17" s="214">
        <f>IF(AND(C17="Skema 1",B17="ti"),Skemaoplysninger!$F$30,"")</f>
        <v>0</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1"/>
        <v>0</v>
      </c>
      <c r="CC17" s="1">
        <f t="shared" si="12"/>
        <v>0</v>
      </c>
      <c r="CD17" s="214" t="str">
        <f>IF(AND(C17="Skema 1",B17="ma"),Skemaoplysninger!$E$39,"")</f>
        <v/>
      </c>
      <c r="CE17" s="214">
        <f>IF(AND(C17="Skema 1",B17="ti"),Skemaoplysninger!$F$39,"")</f>
        <v>0</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3"/>
        <v/>
      </c>
      <c r="DL17" t="str">
        <f t="shared" si="13"/>
        <v/>
      </c>
      <c r="DM17" t="str">
        <f t="shared" si="13"/>
        <v/>
      </c>
      <c r="DN17" t="str">
        <f t="shared" si="27"/>
        <v/>
      </c>
    </row>
    <row r="18" spans="1:118">
      <c r="A18" s="249">
        <f t="shared" si="14"/>
        <v>10</v>
      </c>
      <c r="B18" s="132" t="str">
        <f t="shared" si="0"/>
        <v>on</v>
      </c>
      <c r="C18" s="133" t="s">
        <v>209</v>
      </c>
      <c r="D18" s="134" t="str">
        <f t="shared" si="1"/>
        <v/>
      </c>
      <c r="E18" s="871"/>
      <c r="F18" s="872"/>
      <c r="G18" s="873"/>
      <c r="H18" s="313"/>
      <c r="I18" s="582"/>
      <c r="J18" s="440"/>
      <c r="K18" s="405"/>
      <c r="L18" s="405"/>
      <c r="M18" s="405"/>
      <c r="N18" s="334">
        <f t="shared" si="15"/>
        <v>0</v>
      </c>
      <c r="O18" s="334">
        <f t="shared" si="16"/>
        <v>0</v>
      </c>
      <c r="P18" s="334">
        <f>IF(Stamoplysninger!$H$29="JA",April!DG18,CX18)</f>
        <v>0</v>
      </c>
      <c r="Q18" s="334">
        <f t="shared" si="17"/>
        <v>0</v>
      </c>
      <c r="R18" s="335"/>
      <c r="S18" s="341"/>
      <c r="T18" s="342"/>
      <c r="U18" s="342"/>
      <c r="V18" s="462"/>
      <c r="W18" s="336"/>
      <c r="X18" s="469"/>
      <c r="Y18">
        <f t="shared" si="18"/>
        <v>0</v>
      </c>
      <c r="Z18" s="467">
        <f t="shared" si="19"/>
        <v>0</v>
      </c>
      <c r="AA18" s="1">
        <f t="shared" si="2"/>
        <v>0</v>
      </c>
      <c r="AB18" s="1">
        <f t="shared" si="3"/>
        <v>0</v>
      </c>
      <c r="AC18" s="1">
        <f t="shared" si="4"/>
        <v>0</v>
      </c>
      <c r="AD18" s="1">
        <f t="shared" si="5"/>
        <v>0</v>
      </c>
      <c r="AE18" s="1">
        <f t="shared" si="6"/>
        <v>0</v>
      </c>
      <c r="AF18" s="1">
        <f>IF(C18="Orlov",7.4*Stamoplysninger!$E$15,0)</f>
        <v>0</v>
      </c>
      <c r="AG18" t="str">
        <f>IF(AND(C18="Skema 1",B18="ma"),Arbejdstidsoversigt!$E$44,"")</f>
        <v/>
      </c>
      <c r="AH18" t="str">
        <f>IF(AND(C18="Skema 1",B18="ti"),Arbejdstidsoversigt!$E$45,"")</f>
        <v/>
      </c>
      <c r="AI18">
        <f>IF(AND(C18="Skema 1",B18="on"),Arbejdstidsoversigt!$E$46,"")</f>
        <v>0</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7"/>
        <v>0</v>
      </c>
      <c r="BC18" s="1">
        <f t="shared" si="21"/>
        <v>0</v>
      </c>
      <c r="BD18" s="1">
        <f t="shared" si="8"/>
        <v>0</v>
      </c>
      <c r="BE18" s="1">
        <f t="shared" si="9"/>
        <v>0</v>
      </c>
      <c r="BF18" s="1">
        <f t="shared" si="10"/>
        <v>0</v>
      </c>
      <c r="BG18" s="214" t="str">
        <f>IF(AND(C18="Skema 1",B18="ma"),Skemaoplysninger!$E$30,"")</f>
        <v/>
      </c>
      <c r="BH18" s="214" t="str">
        <f>IF(AND(C18="Skema 1",B18="ti"),Skemaoplysninger!$F$30,"")</f>
        <v/>
      </c>
      <c r="BI18" s="214">
        <f>IF(AND(C18="Skema 1",B18="on"),Skemaoplysninger!$G$30,"")</f>
        <v>0</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1"/>
        <v>0</v>
      </c>
      <c r="CC18" s="1">
        <f t="shared" si="12"/>
        <v>0</v>
      </c>
      <c r="CD18" s="214" t="str">
        <f>IF(AND(C18="Skema 1",B18="ma"),Skemaoplysninger!$E$39,"")</f>
        <v/>
      </c>
      <c r="CE18" s="214" t="str">
        <f>IF(AND(C18="Skema 1",B18="ti"),Skemaoplysninger!$F$39,"")</f>
        <v/>
      </c>
      <c r="CF18" s="214">
        <f>IF(AND(C18="Skema 1",B18="on"),Skemaoplysninger!$G$39,"")</f>
        <v>0</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3"/>
        <v/>
      </c>
      <c r="DL18" t="str">
        <f t="shared" si="13"/>
        <v/>
      </c>
      <c r="DM18" t="str">
        <f t="shared" si="13"/>
        <v/>
      </c>
      <c r="DN18" t="str">
        <f t="shared" si="27"/>
        <v/>
      </c>
    </row>
    <row r="19" spans="1:118">
      <c r="A19" s="249">
        <f t="shared" si="14"/>
        <v>11</v>
      </c>
      <c r="B19" s="132" t="str">
        <f t="shared" si="0"/>
        <v>to</v>
      </c>
      <c r="C19" s="133" t="s">
        <v>209</v>
      </c>
      <c r="D19" s="134" t="str">
        <f t="shared" si="1"/>
        <v/>
      </c>
      <c r="E19" s="871"/>
      <c r="F19" s="872"/>
      <c r="G19" s="873"/>
      <c r="H19" s="313"/>
      <c r="I19" s="582"/>
      <c r="J19" s="440"/>
      <c r="K19" s="405"/>
      <c r="L19" s="405"/>
      <c r="M19" s="405"/>
      <c r="N19" s="334">
        <f t="shared" si="15"/>
        <v>0</v>
      </c>
      <c r="O19" s="334">
        <f t="shared" si="16"/>
        <v>0</v>
      </c>
      <c r="P19" s="334">
        <f>IF(Stamoplysninger!$H$29="JA",April!DG19,CX19)</f>
        <v>0</v>
      </c>
      <c r="Q19" s="334">
        <f t="shared" si="17"/>
        <v>0</v>
      </c>
      <c r="R19" s="335"/>
      <c r="S19" s="341"/>
      <c r="T19" s="342"/>
      <c r="U19" s="342"/>
      <c r="V19" s="462"/>
      <c r="W19" s="336"/>
      <c r="X19" s="469"/>
      <c r="Y19">
        <f t="shared" si="18"/>
        <v>0</v>
      </c>
      <c r="Z19" s="467">
        <f t="shared" si="19"/>
        <v>0</v>
      </c>
      <c r="AA19" s="1">
        <f t="shared" si="2"/>
        <v>0</v>
      </c>
      <c r="AB19" s="1">
        <f t="shared" si="3"/>
        <v>0</v>
      </c>
      <c r="AC19" s="1">
        <f t="shared" si="4"/>
        <v>0</v>
      </c>
      <c r="AD19" s="1">
        <f t="shared" si="5"/>
        <v>0</v>
      </c>
      <c r="AE19" s="1">
        <f t="shared" si="6"/>
        <v>0</v>
      </c>
      <c r="AF19" s="1">
        <f>IF(C19="Orlov",7.4*Stamoplysninger!$E$15,0)</f>
        <v>0</v>
      </c>
      <c r="AG19" t="str">
        <f>IF(AND(C19="Skema 1",B19="ma"),Arbejdstidsoversigt!$E$44,"")</f>
        <v/>
      </c>
      <c r="AH19" t="str">
        <f>IF(AND(C19="Skema 1",B19="ti"),Arbejdstidsoversigt!$E$45,"")</f>
        <v/>
      </c>
      <c r="AI19" t="str">
        <f>IF(AND(C19="Skema 1",B19="on"),Arbejdstidsoversigt!$E$46,"")</f>
        <v/>
      </c>
      <c r="AJ19">
        <f>IF(AND(C19="Skema 1",B19="to"),Arbejdstidsoversigt!$E$47,"")</f>
        <v>0</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7"/>
        <v>0</v>
      </c>
      <c r="BC19" s="1">
        <f t="shared" si="21"/>
        <v>0</v>
      </c>
      <c r="BD19" s="1">
        <f t="shared" si="8"/>
        <v>0</v>
      </c>
      <c r="BE19" s="1">
        <f t="shared" si="9"/>
        <v>0</v>
      </c>
      <c r="BF19" s="1">
        <f t="shared" si="10"/>
        <v>0</v>
      </c>
      <c r="BG19" s="214" t="str">
        <f>IF(AND(C19="Skema 1",B19="ma"),Skemaoplysninger!$E$30,"")</f>
        <v/>
      </c>
      <c r="BH19" s="214" t="str">
        <f>IF(AND(C19="Skema 1",B19="ti"),Skemaoplysninger!$F$30,"")</f>
        <v/>
      </c>
      <c r="BI19" s="214" t="str">
        <f>IF(AND(C19="Skema 1",B19="on"),Skemaoplysninger!$G$30,"")</f>
        <v/>
      </c>
      <c r="BJ19" s="214">
        <f>IF(AND(C19="Skema 1",B19="to"),Skemaoplysninger!$H$30,"")</f>
        <v>0</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1"/>
        <v>0</v>
      </c>
      <c r="CC19" s="1">
        <f t="shared" si="12"/>
        <v>0</v>
      </c>
      <c r="CD19" s="214" t="str">
        <f>IF(AND(C19="Skema 1",B19="ma"),Skemaoplysninger!$E$39,"")</f>
        <v/>
      </c>
      <c r="CE19" s="214" t="str">
        <f>IF(AND(C19="Skema 1",B19="ti"),Skemaoplysninger!$F$39,"")</f>
        <v/>
      </c>
      <c r="CF19" s="214" t="str">
        <f>IF(AND(C19="Skema 1",B19="on"),Skemaoplysninger!$G$39,"")</f>
        <v/>
      </c>
      <c r="CG19" s="214">
        <f>IF(AND(C19="Skema 1",B19="to"),Skemaoplysninger!$H$39,"")</f>
        <v>0</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3"/>
        <v/>
      </c>
      <c r="DL19" t="str">
        <f t="shared" si="13"/>
        <v/>
      </c>
      <c r="DM19" t="str">
        <f t="shared" si="13"/>
        <v/>
      </c>
      <c r="DN19" t="str">
        <f t="shared" si="27"/>
        <v/>
      </c>
    </row>
    <row r="20" spans="1:118">
      <c r="A20" s="249">
        <f>IF(ISNUMBER(A19),A19+1,1)</f>
        <v>12</v>
      </c>
      <c r="B20" s="132" t="str">
        <f t="shared" si="0"/>
        <v>fr</v>
      </c>
      <c r="C20" s="133" t="s">
        <v>209</v>
      </c>
      <c r="D20" s="134" t="str">
        <f t="shared" si="1"/>
        <v/>
      </c>
      <c r="E20" s="871"/>
      <c r="F20" s="872"/>
      <c r="G20" s="873"/>
      <c r="H20" s="313"/>
      <c r="I20" s="582"/>
      <c r="J20" s="440"/>
      <c r="K20" s="405"/>
      <c r="L20" s="405"/>
      <c r="M20" s="405"/>
      <c r="N20" s="334">
        <f t="shared" si="15"/>
        <v>0</v>
      </c>
      <c r="O20" s="334">
        <f t="shared" si="16"/>
        <v>0</v>
      </c>
      <c r="P20" s="334">
        <f>IF(Stamoplysninger!$H$29="JA",April!DG20,CX20)</f>
        <v>0</v>
      </c>
      <c r="Q20" s="334">
        <f t="shared" si="17"/>
        <v>0</v>
      </c>
      <c r="R20" s="335"/>
      <c r="S20" s="341"/>
      <c r="T20" s="342"/>
      <c r="U20" s="342"/>
      <c r="V20" s="462"/>
      <c r="W20" s="336"/>
      <c r="X20" s="469"/>
      <c r="Y20">
        <f t="shared" si="18"/>
        <v>0</v>
      </c>
      <c r="Z20" s="467">
        <f t="shared" si="19"/>
        <v>0</v>
      </c>
      <c r="AA20" s="1">
        <f t="shared" si="2"/>
        <v>0</v>
      </c>
      <c r="AB20" s="1">
        <f t="shared" si="3"/>
        <v>0</v>
      </c>
      <c r="AC20" s="1">
        <f t="shared" si="4"/>
        <v>0</v>
      </c>
      <c r="AD20" s="1">
        <f t="shared" si="5"/>
        <v>0</v>
      </c>
      <c r="AE20" s="1">
        <f t="shared" si="6"/>
        <v>0</v>
      </c>
      <c r="AF20" s="1">
        <f>IF(C20="Orlov",7.4*Stamoplysninger!$E$15,0)</f>
        <v>0</v>
      </c>
      <c r="AG20" t="str">
        <f>IF(AND(C20="Skema 1",B20="ma"),Arbejdstidsoversigt!$E$44,"")</f>
        <v/>
      </c>
      <c r="AH20" t="str">
        <f>IF(AND(C20="Skema 1",B20="ti"),Arbejdstidsoversigt!$E$45,"")</f>
        <v/>
      </c>
      <c r="AI20" t="str">
        <f>IF(AND(C20="Skema 1",B20="on"),Arbejdstidsoversigt!$E$46,"")</f>
        <v/>
      </c>
      <c r="AJ20" t="str">
        <f>IF(AND(C20="Skema 1",B20="to"),Arbejdstidsoversigt!$E$47,"")</f>
        <v/>
      </c>
      <c r="AK20">
        <f>IF(AND(C20="Skema 1",B20="fr"),Arbejdstidsoversigt!$E$48,"")</f>
        <v>0</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7"/>
        <v>0</v>
      </c>
      <c r="BC20" s="1">
        <f t="shared" si="21"/>
        <v>0</v>
      </c>
      <c r="BD20" s="1">
        <f t="shared" si="8"/>
        <v>0</v>
      </c>
      <c r="BE20" s="1">
        <f t="shared" si="9"/>
        <v>0</v>
      </c>
      <c r="BF20" s="1">
        <f t="shared" si="10"/>
        <v>0</v>
      </c>
      <c r="BG20" s="214" t="str">
        <f>IF(AND(C20="Skema 1",B20="ma"),Skemaoplysninger!$E$30,"")</f>
        <v/>
      </c>
      <c r="BH20" s="214" t="str">
        <f>IF(AND(C20="Skema 1",B20="ti"),Skemaoplysninger!$F$30,"")</f>
        <v/>
      </c>
      <c r="BI20" s="214" t="str">
        <f>IF(AND(C20="Skema 1",B20="on"),Skemaoplysninger!$G$30,"")</f>
        <v/>
      </c>
      <c r="BJ20" s="214" t="str">
        <f>IF(AND(C20="Skema 1",B20="to"),Skemaoplysninger!$H$30,"")</f>
        <v/>
      </c>
      <c r="BK20" s="214">
        <f>IF(AND(C20="Skema 1",B20="fr"),Skemaoplysninger!$I$30,"")</f>
        <v>0</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1"/>
        <v>0</v>
      </c>
      <c r="CC20" s="1">
        <f t="shared" si="12"/>
        <v>0</v>
      </c>
      <c r="CD20" s="214" t="str">
        <f>IF(AND(C20="Skema 1",B20="ma"),Skemaoplysninger!$E$39,"")</f>
        <v/>
      </c>
      <c r="CE20" s="214" t="str">
        <f>IF(AND(C20="Skema 1",B20="ti"),Skemaoplysninger!$F$39,"")</f>
        <v/>
      </c>
      <c r="CF20" s="214" t="str">
        <f>IF(AND(C20="Skema 1",B20="on"),Skemaoplysninger!$G$39,"")</f>
        <v/>
      </c>
      <c r="CG20" s="214" t="str">
        <f>IF(AND(C20="Skema 1",B20="to"),Skemaoplysninger!$H$39,"")</f>
        <v/>
      </c>
      <c r="CH20" s="214">
        <f>IF(AND(C20="Skema 1",B20="fr"),Skemaoplysninger!$I$39,"")</f>
        <v>0</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f t="shared" si="25"/>
        <v>0</v>
      </c>
      <c r="DJ20">
        <f t="shared" si="26"/>
        <v>0</v>
      </c>
      <c r="DK20" t="str">
        <f t="shared" si="13"/>
        <v/>
      </c>
      <c r="DL20" t="str">
        <f t="shared" si="13"/>
        <v/>
      </c>
      <c r="DM20" t="str">
        <f t="shared" si="13"/>
        <v/>
      </c>
      <c r="DN20" t="str">
        <f t="shared" si="27"/>
        <v/>
      </c>
    </row>
    <row r="21" spans="1:118">
      <c r="A21" s="249">
        <f>IF(ISNUMBER(A20),A20+1,1)</f>
        <v>13</v>
      </c>
      <c r="B21" s="132" t="str">
        <f t="shared" si="0"/>
        <v>lø</v>
      </c>
      <c r="C21" s="133" t="s">
        <v>121</v>
      </c>
      <c r="D21" s="134" t="str">
        <f t="shared" si="1"/>
        <v/>
      </c>
      <c r="E21" s="868"/>
      <c r="F21" s="869"/>
      <c r="G21" s="870"/>
      <c r="H21" s="312"/>
      <c r="I21" s="440"/>
      <c r="J21" s="440"/>
      <c r="K21" s="405"/>
      <c r="L21" s="405"/>
      <c r="M21" s="405"/>
      <c r="N21" s="334">
        <f t="shared" si="15"/>
        <v>0</v>
      </c>
      <c r="O21" s="334">
        <f t="shared" si="16"/>
        <v>0</v>
      </c>
      <c r="P21" s="334">
        <f>IF(Stamoplysninger!$H$29="JA",April!DG21,CX21)</f>
        <v>0</v>
      </c>
      <c r="Q21" s="334">
        <f t="shared" si="17"/>
        <v>0</v>
      </c>
      <c r="R21" s="335"/>
      <c r="S21" s="341"/>
      <c r="T21" s="342"/>
      <c r="U21" s="342"/>
      <c r="V21" s="462"/>
      <c r="W21" s="336"/>
      <c r="X21" s="469"/>
      <c r="Y21">
        <f t="shared" si="18"/>
        <v>0</v>
      </c>
      <c r="Z21" s="467">
        <f t="shared" si="19"/>
        <v>0</v>
      </c>
      <c r="AA21" s="1">
        <f t="shared" si="2"/>
        <v>0</v>
      </c>
      <c r="AB21" s="1">
        <f t="shared" si="3"/>
        <v>0</v>
      </c>
      <c r="AC21" s="1">
        <f t="shared" si="4"/>
        <v>0</v>
      </c>
      <c r="AD21" s="1">
        <f t="shared" si="5"/>
        <v>0</v>
      </c>
      <c r="AE21" s="1">
        <f t="shared" si="6"/>
        <v>0</v>
      </c>
      <c r="AF21" s="1">
        <f>IF(C21="Orlov",7.4*Stamoplysninger!$E$15,0)</f>
        <v>0</v>
      </c>
      <c r="AG21" t="str">
        <f>IF(AND(C21="Skema 1",B21="ma"),Arbejdstidsoversigt!$E$44,"")</f>
        <v/>
      </c>
      <c r="AH21" t="str">
        <f>IF(AND(C21="Skema 1",B21="ti"),Arbejdstidsoversigt!$E$45,"")</f>
        <v/>
      </c>
      <c r="AI21" t="str">
        <f>IF(AND(C21="Skema 1",B21="on"),Arbejdstidsoversigt!$E$46,"")</f>
        <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7"/>
        <v>0</v>
      </c>
      <c r="BC21" s="1">
        <f t="shared" si="21"/>
        <v>0</v>
      </c>
      <c r="BD21" s="1">
        <f t="shared" si="8"/>
        <v>0</v>
      </c>
      <c r="BE21" s="1">
        <f t="shared" si="9"/>
        <v>0</v>
      </c>
      <c r="BF21" s="1">
        <f t="shared" si="10"/>
        <v>0</v>
      </c>
      <c r="BG21" s="214" t="str">
        <f>IF(AND(C21="Skema 1",B21="ma"),Skemaoplysninger!$E$30,"")</f>
        <v/>
      </c>
      <c r="BH21" s="214" t="str">
        <f>IF(AND(C21="Skema 1",B21="ti"),Skemaoplysninger!$F$30,"")</f>
        <v/>
      </c>
      <c r="BI21" s="214" t="str">
        <f>IF(AND(C21="Skema 1",B21="on"),Skemaoplysninger!$G$30,"")</f>
        <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1"/>
        <v>0</v>
      </c>
      <c r="CC21" s="1">
        <f t="shared" si="12"/>
        <v>0</v>
      </c>
      <c r="CD21" s="214" t="str">
        <f>IF(AND(C21="Skema 1",B21="ma"),Skemaoplysninger!$E$39,"")</f>
        <v/>
      </c>
      <c r="CE21" s="214" t="str">
        <f>IF(AND(C21="Skema 1",B21="ti"),Skemaoplysninger!$F$39,"")</f>
        <v/>
      </c>
      <c r="CF21" s="214" t="str">
        <f>IF(AND(C21="Skema 1",B21="on"),Skemaoplysninger!$G$39,"")</f>
        <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3"/>
        <v/>
      </c>
      <c r="DL21" t="str">
        <f t="shared" si="13"/>
        <v/>
      </c>
      <c r="DM21" t="str">
        <f t="shared" si="13"/>
        <v/>
      </c>
      <c r="DN21" t="str">
        <f t="shared" si="27"/>
        <v/>
      </c>
    </row>
    <row r="22" spans="1:118">
      <c r="A22" s="249">
        <f t="shared" si="14"/>
        <v>14</v>
      </c>
      <c r="B22" s="132" t="str">
        <f t="shared" si="0"/>
        <v>sø</v>
      </c>
      <c r="C22" s="133" t="s">
        <v>121</v>
      </c>
      <c r="D22" s="134" t="str">
        <f t="shared" si="1"/>
        <v/>
      </c>
      <c r="E22" s="868"/>
      <c r="F22" s="869"/>
      <c r="G22" s="870"/>
      <c r="H22" s="312"/>
      <c r="I22" s="440"/>
      <c r="J22" s="440"/>
      <c r="K22" s="405"/>
      <c r="L22" s="405"/>
      <c r="M22" s="405"/>
      <c r="N22" s="334">
        <f t="shared" si="15"/>
        <v>0</v>
      </c>
      <c r="O22" s="334">
        <f t="shared" si="16"/>
        <v>0</v>
      </c>
      <c r="P22" s="334">
        <f>IF(Stamoplysninger!$H$29="JA",April!DG22,CX22)</f>
        <v>0</v>
      </c>
      <c r="Q22" s="334">
        <f t="shared" si="17"/>
        <v>0</v>
      </c>
      <c r="R22" s="335"/>
      <c r="S22" s="341"/>
      <c r="T22" s="342"/>
      <c r="U22" s="342"/>
      <c r="V22" s="462"/>
      <c r="W22" s="336"/>
      <c r="X22" s="469"/>
      <c r="Y22">
        <f t="shared" si="18"/>
        <v>0</v>
      </c>
      <c r="Z22" s="467">
        <f t="shared" si="19"/>
        <v>0</v>
      </c>
      <c r="AA22" s="1">
        <f t="shared" si="2"/>
        <v>0</v>
      </c>
      <c r="AB22" s="1">
        <f t="shared" si="3"/>
        <v>0</v>
      </c>
      <c r="AC22" s="1">
        <f t="shared" si="4"/>
        <v>0</v>
      </c>
      <c r="AD22" s="1">
        <f t="shared" si="5"/>
        <v>0</v>
      </c>
      <c r="AE22" s="1">
        <f t="shared" si="6"/>
        <v>0</v>
      </c>
      <c r="AF22" s="1">
        <f>IF(C22="Orlov",7.4*Stamoplysninger!$E$15,0)</f>
        <v>0</v>
      </c>
      <c r="AG22" t="str">
        <f>IF(AND(C22="Skema 1",B22="ma"),Arbejdstidsoversigt!$E$44,"")</f>
        <v/>
      </c>
      <c r="AH22" t="str">
        <f>IF(AND(C22="Skema 1",B22="ti"),Arbejdstidsoversigt!$E$45,"")</f>
        <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7"/>
        <v>0</v>
      </c>
      <c r="BC22" s="1">
        <f t="shared" si="21"/>
        <v>0</v>
      </c>
      <c r="BD22" s="1">
        <f t="shared" si="8"/>
        <v>0</v>
      </c>
      <c r="BE22" s="1">
        <f t="shared" si="9"/>
        <v>0</v>
      </c>
      <c r="BF22" s="1">
        <f t="shared" si="10"/>
        <v>0</v>
      </c>
      <c r="BG22" s="214" t="str">
        <f>IF(AND(C22="Skema 1",B22="ma"),Skemaoplysninger!$E$30,"")</f>
        <v/>
      </c>
      <c r="BH22" s="214" t="str">
        <f>IF(AND(C22="Skema 1",B22="ti"),Skemaoplysninger!$F$30,"")</f>
        <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1"/>
        <v>0</v>
      </c>
      <c r="CC22" s="1">
        <f t="shared" si="12"/>
        <v>0</v>
      </c>
      <c r="CD22" s="214" t="str">
        <f>IF(AND(C22="Skema 1",B22="ma"),Skemaoplysninger!$E$39,"")</f>
        <v/>
      </c>
      <c r="CE22" s="214" t="str">
        <f>IF(AND(C22="Skema 1",B22="ti"),Skemaoplysninger!$F$39,"")</f>
        <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3"/>
        <v/>
      </c>
      <c r="DL22" t="str">
        <f t="shared" si="13"/>
        <v/>
      </c>
      <c r="DM22" t="str">
        <f t="shared" si="13"/>
        <v/>
      </c>
      <c r="DN22" t="str">
        <f t="shared" si="27"/>
        <v/>
      </c>
    </row>
    <row r="23" spans="1:118">
      <c r="A23" s="249">
        <f t="shared" si="14"/>
        <v>15</v>
      </c>
      <c r="B23" s="132" t="str">
        <f t="shared" si="0"/>
        <v>ma</v>
      </c>
      <c r="C23" s="133" t="s">
        <v>209</v>
      </c>
      <c r="D23" s="134">
        <f t="shared" si="1"/>
        <v>16</v>
      </c>
      <c r="E23" s="868"/>
      <c r="F23" s="869"/>
      <c r="G23" s="870"/>
      <c r="H23" s="312"/>
      <c r="I23" s="582"/>
      <c r="J23" s="440"/>
      <c r="K23" s="405"/>
      <c r="L23" s="405"/>
      <c r="M23" s="405"/>
      <c r="N23" s="334">
        <f t="shared" si="15"/>
        <v>0</v>
      </c>
      <c r="O23" s="334">
        <f t="shared" si="16"/>
        <v>0</v>
      </c>
      <c r="P23" s="334">
        <f>IF(Stamoplysninger!$H$29="JA",April!DG23,CX23)</f>
        <v>0</v>
      </c>
      <c r="Q23" s="334">
        <f t="shared" si="17"/>
        <v>0</v>
      </c>
      <c r="R23" s="335"/>
      <c r="S23" s="341"/>
      <c r="T23" s="342"/>
      <c r="U23" s="342"/>
      <c r="V23" s="462"/>
      <c r="W23" s="336"/>
      <c r="X23" s="469"/>
      <c r="Y23">
        <f t="shared" si="18"/>
        <v>0</v>
      </c>
      <c r="Z23" s="467">
        <f t="shared" si="19"/>
        <v>0</v>
      </c>
      <c r="AA23" s="1">
        <f t="shared" si="2"/>
        <v>0</v>
      </c>
      <c r="AB23" s="1">
        <f t="shared" si="3"/>
        <v>0</v>
      </c>
      <c r="AC23" s="1">
        <f t="shared" si="4"/>
        <v>0</v>
      </c>
      <c r="AD23" s="1">
        <f t="shared" si="5"/>
        <v>0</v>
      </c>
      <c r="AE23" s="1">
        <f t="shared" si="6"/>
        <v>0</v>
      </c>
      <c r="AF23" s="1">
        <f>IF(C23="Orlov",7.4*Stamoplysninger!$E$15,0)</f>
        <v>0</v>
      </c>
      <c r="AG23">
        <f>IF(AND(C23="Skema 1",B23="ma"),Arbejdstidsoversigt!$E$44,"")</f>
        <v>0</v>
      </c>
      <c r="AH23" t="str">
        <f>IF(AND(C23="Skema 1",B23="ti"),Arbejdstidsoversigt!$E$45,"")</f>
        <v/>
      </c>
      <c r="AI23" t="str">
        <f>IF(AND(C23="Skema 1",B23="on"),Arbejdstidsoversigt!$E$46,"")</f>
        <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7"/>
        <v>0</v>
      </c>
      <c r="BC23" s="1">
        <f t="shared" si="21"/>
        <v>0</v>
      </c>
      <c r="BD23" s="1">
        <f t="shared" si="8"/>
        <v>0</v>
      </c>
      <c r="BE23" s="1">
        <f t="shared" si="9"/>
        <v>0</v>
      </c>
      <c r="BF23" s="1">
        <f t="shared" si="10"/>
        <v>0</v>
      </c>
      <c r="BG23" s="214">
        <f>IF(AND(C23="Skema 1",B23="ma"),Skemaoplysninger!$E$30,"")</f>
        <v>0</v>
      </c>
      <c r="BH23" s="214" t="str">
        <f>IF(AND(C23="Skema 1",B23="ti"),Skemaoplysninger!$F$30,"")</f>
        <v/>
      </c>
      <c r="BI23" s="214" t="str">
        <f>IF(AND(C23="Skema 1",B23="on"),Skemaoplysninger!$G$30,"")</f>
        <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1"/>
        <v>0</v>
      </c>
      <c r="CC23" s="1">
        <f t="shared" si="12"/>
        <v>0</v>
      </c>
      <c r="CD23" s="214">
        <f>IF(AND(C23="Skema 1",B23="ma"),Skemaoplysninger!$E$39,"")</f>
        <v>0</v>
      </c>
      <c r="CE23" s="214" t="str">
        <f>IF(AND(C23="Skema 1",B23="ti"),Skemaoplysninger!$F$39,"")</f>
        <v/>
      </c>
      <c r="CF23" s="214" t="str">
        <f>IF(AND(C23="Skema 1",B23="on"),Skemaoplysninger!$G$39,"")</f>
        <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3"/>
        <v/>
      </c>
      <c r="DL23" t="str">
        <f t="shared" si="13"/>
        <v/>
      </c>
      <c r="DM23" t="str">
        <f t="shared" si="13"/>
        <v/>
      </c>
      <c r="DN23" t="str">
        <f t="shared" si="27"/>
        <v/>
      </c>
    </row>
    <row r="24" spans="1:118">
      <c r="A24" s="249">
        <f>IF(ISNUMBER(A23),A23+1,1)</f>
        <v>16</v>
      </c>
      <c r="B24" s="132" t="str">
        <f t="shared" si="0"/>
        <v>ti</v>
      </c>
      <c r="C24" s="133" t="s">
        <v>209</v>
      </c>
      <c r="D24" s="134" t="str">
        <f t="shared" si="1"/>
        <v/>
      </c>
      <c r="E24" s="871"/>
      <c r="F24" s="872"/>
      <c r="G24" s="873"/>
      <c r="H24" s="313"/>
      <c r="I24" s="582"/>
      <c r="J24" s="440"/>
      <c r="K24" s="405"/>
      <c r="L24" s="405"/>
      <c r="M24" s="405"/>
      <c r="N24" s="334">
        <f t="shared" si="15"/>
        <v>0</v>
      </c>
      <c r="O24" s="334">
        <f t="shared" si="16"/>
        <v>0</v>
      </c>
      <c r="P24" s="334">
        <f>IF(Stamoplysninger!$H$29="JA",April!DG24,CX24)</f>
        <v>0</v>
      </c>
      <c r="Q24" s="334">
        <f t="shared" si="17"/>
        <v>0</v>
      </c>
      <c r="R24" s="335"/>
      <c r="S24" s="341"/>
      <c r="T24" s="342"/>
      <c r="U24" s="342"/>
      <c r="V24" s="462"/>
      <c r="W24" s="336"/>
      <c r="X24" s="469"/>
      <c r="Y24">
        <f t="shared" si="18"/>
        <v>0</v>
      </c>
      <c r="Z24" s="467">
        <f t="shared" si="19"/>
        <v>0</v>
      </c>
      <c r="AA24" s="1">
        <f t="shared" si="2"/>
        <v>0</v>
      </c>
      <c r="AB24" s="1">
        <f t="shared" si="3"/>
        <v>0</v>
      </c>
      <c r="AC24" s="1">
        <f t="shared" si="4"/>
        <v>0</v>
      </c>
      <c r="AD24" s="1">
        <f t="shared" si="5"/>
        <v>0</v>
      </c>
      <c r="AE24" s="1">
        <f t="shared" si="6"/>
        <v>0</v>
      </c>
      <c r="AF24" s="1">
        <f>IF(C24="Orlov",7.4*Stamoplysninger!$E$15,0)</f>
        <v>0</v>
      </c>
      <c r="AG24" t="str">
        <f>IF(AND(C24="Skema 1",B24="ma"),Arbejdstidsoversigt!$E$44,"")</f>
        <v/>
      </c>
      <c r="AH24">
        <f>IF(AND(C24="Skema 1",B24="ti"),Arbejdstidsoversigt!$E$45,"")</f>
        <v>0</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7"/>
        <v>0</v>
      </c>
      <c r="BC24" s="1">
        <f t="shared" si="21"/>
        <v>0</v>
      </c>
      <c r="BD24" s="1">
        <f t="shared" si="8"/>
        <v>0</v>
      </c>
      <c r="BE24" s="1">
        <f t="shared" si="9"/>
        <v>0</v>
      </c>
      <c r="BF24" s="1">
        <f t="shared" si="10"/>
        <v>0</v>
      </c>
      <c r="BG24" s="214" t="str">
        <f>IF(AND(C24="Skema 1",B24="ma"),Skemaoplysninger!$E$30,"")</f>
        <v/>
      </c>
      <c r="BH24" s="214">
        <f>IF(AND(C24="Skema 1",B24="ti"),Skemaoplysninger!$F$30,"")</f>
        <v>0</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1"/>
        <v>0</v>
      </c>
      <c r="CC24" s="1">
        <f t="shared" si="12"/>
        <v>0</v>
      </c>
      <c r="CD24" s="214" t="str">
        <f>IF(AND(C24="Skema 1",B24="ma"),Skemaoplysninger!$E$39,"")</f>
        <v/>
      </c>
      <c r="CE24" s="214">
        <f>IF(AND(C24="Skema 1",B24="ti"),Skemaoplysninger!$F$39,"")</f>
        <v>0</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f t="shared" si="25"/>
        <v>0</v>
      </c>
      <c r="DJ24">
        <f t="shared" si="26"/>
        <v>0</v>
      </c>
      <c r="DK24" t="str">
        <f t="shared" si="13"/>
        <v/>
      </c>
      <c r="DL24" t="str">
        <f t="shared" si="13"/>
        <v/>
      </c>
      <c r="DM24" t="str">
        <f t="shared" si="13"/>
        <v/>
      </c>
      <c r="DN24" t="str">
        <f t="shared" si="27"/>
        <v/>
      </c>
    </row>
    <row r="25" spans="1:118">
      <c r="A25" s="249">
        <f t="shared" si="14"/>
        <v>17</v>
      </c>
      <c r="B25" s="132" t="str">
        <f t="shared" si="0"/>
        <v>on</v>
      </c>
      <c r="C25" s="133" t="s">
        <v>209</v>
      </c>
      <c r="D25" s="134" t="str">
        <f t="shared" si="1"/>
        <v/>
      </c>
      <c r="E25" s="871"/>
      <c r="F25" s="872"/>
      <c r="G25" s="873"/>
      <c r="H25" s="313"/>
      <c r="I25" s="582"/>
      <c r="J25" s="440"/>
      <c r="K25" s="405"/>
      <c r="L25" s="405"/>
      <c r="M25" s="405"/>
      <c r="N25" s="334">
        <f t="shared" si="15"/>
        <v>0</v>
      </c>
      <c r="O25" s="334">
        <f t="shared" si="16"/>
        <v>0</v>
      </c>
      <c r="P25" s="334">
        <f>IF(Stamoplysninger!$H$29="JA",April!DG25,CX25)</f>
        <v>0</v>
      </c>
      <c r="Q25" s="334">
        <f t="shared" si="17"/>
        <v>0</v>
      </c>
      <c r="R25" s="335"/>
      <c r="S25" s="341"/>
      <c r="T25" s="342"/>
      <c r="U25" s="342"/>
      <c r="V25" s="462"/>
      <c r="W25" s="336"/>
      <c r="X25" s="469"/>
      <c r="Y25">
        <f t="shared" si="18"/>
        <v>0</v>
      </c>
      <c r="Z25" s="467">
        <f t="shared" si="19"/>
        <v>0</v>
      </c>
      <c r="AA25" s="1">
        <f t="shared" si="2"/>
        <v>0</v>
      </c>
      <c r="AB25" s="1">
        <f t="shared" si="3"/>
        <v>0</v>
      </c>
      <c r="AC25" s="1">
        <f t="shared" si="4"/>
        <v>0</v>
      </c>
      <c r="AD25" s="1">
        <f t="shared" si="5"/>
        <v>0</v>
      </c>
      <c r="AE25" s="1">
        <f t="shared" si="6"/>
        <v>0</v>
      </c>
      <c r="AF25" s="1">
        <f>IF(C25="Orlov",7.4*Stamoplysninger!$E$15,0)</f>
        <v>0</v>
      </c>
      <c r="AG25" t="str">
        <f>IF(AND(C25="Skema 1",B25="ma"),Arbejdstidsoversigt!$E$44,"")</f>
        <v/>
      </c>
      <c r="AH25" t="str">
        <f>IF(AND(C25="Skema 1",B25="ti"),Arbejdstidsoversigt!$E$45,"")</f>
        <v/>
      </c>
      <c r="AI25">
        <f>IF(AND(C25="Skema 1",B25="on"),Arbejdstidsoversigt!$E$46,"")</f>
        <v>0</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7"/>
        <v>0</v>
      </c>
      <c r="BC25" s="1">
        <f t="shared" si="21"/>
        <v>0</v>
      </c>
      <c r="BD25" s="1">
        <f t="shared" si="8"/>
        <v>0</v>
      </c>
      <c r="BE25" s="1">
        <f t="shared" si="9"/>
        <v>0</v>
      </c>
      <c r="BF25" s="1">
        <f t="shared" si="10"/>
        <v>0</v>
      </c>
      <c r="BG25" s="214" t="str">
        <f>IF(AND(C25="Skema 1",B25="ma"),Skemaoplysninger!$E$30,"")</f>
        <v/>
      </c>
      <c r="BH25" s="214" t="str">
        <f>IF(AND(C25="Skema 1",B25="ti"),Skemaoplysninger!$F$30,"")</f>
        <v/>
      </c>
      <c r="BI25" s="214">
        <f>IF(AND(C25="Skema 1",B25="on"),Skemaoplysninger!$G$30,"")</f>
        <v>0</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1"/>
        <v>0</v>
      </c>
      <c r="CC25" s="1">
        <f t="shared" si="12"/>
        <v>0</v>
      </c>
      <c r="CD25" s="214" t="str">
        <f>IF(AND(C25="Skema 1",B25="ma"),Skemaoplysninger!$E$39,"")</f>
        <v/>
      </c>
      <c r="CE25" s="214" t="str">
        <f>IF(AND(C25="Skema 1",B25="ti"),Skemaoplysninger!$F$39,"")</f>
        <v/>
      </c>
      <c r="CF25" s="214">
        <f>IF(AND(C25="Skema 1",B25="on"),Skemaoplysninger!$G$39,"")</f>
        <v>0</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3"/>
        <v/>
      </c>
      <c r="DL25" t="str">
        <f t="shared" si="13"/>
        <v/>
      </c>
      <c r="DM25" t="str">
        <f t="shared" si="13"/>
        <v/>
      </c>
      <c r="DN25" t="str">
        <f t="shared" si="27"/>
        <v/>
      </c>
    </row>
    <row r="26" spans="1:118">
      <c r="A26" s="249">
        <f t="shared" si="14"/>
        <v>18</v>
      </c>
      <c r="B26" s="132" t="str">
        <f t="shared" si="0"/>
        <v>to</v>
      </c>
      <c r="C26" s="133" t="s">
        <v>209</v>
      </c>
      <c r="D26" s="134" t="str">
        <f t="shared" si="1"/>
        <v/>
      </c>
      <c r="E26" s="871"/>
      <c r="F26" s="872"/>
      <c r="G26" s="873"/>
      <c r="H26" s="313"/>
      <c r="I26" s="582"/>
      <c r="J26" s="440"/>
      <c r="K26" s="405"/>
      <c r="L26" s="405"/>
      <c r="M26" s="405"/>
      <c r="N26" s="334">
        <f t="shared" si="15"/>
        <v>0</v>
      </c>
      <c r="O26" s="334">
        <f t="shared" si="16"/>
        <v>0</v>
      </c>
      <c r="P26" s="334">
        <f>IF(Stamoplysninger!$H$29="JA",April!DG26,CX26)</f>
        <v>0</v>
      </c>
      <c r="Q26" s="334">
        <f t="shared" si="17"/>
        <v>0</v>
      </c>
      <c r="R26" s="335"/>
      <c r="S26" s="341"/>
      <c r="T26" s="342"/>
      <c r="U26" s="342"/>
      <c r="V26" s="462"/>
      <c r="W26" s="336"/>
      <c r="X26" s="469"/>
      <c r="Y26">
        <f t="shared" si="18"/>
        <v>0</v>
      </c>
      <c r="Z26" s="467">
        <f t="shared" si="19"/>
        <v>0</v>
      </c>
      <c r="AA26" s="1">
        <f t="shared" si="2"/>
        <v>0</v>
      </c>
      <c r="AB26" s="1">
        <f t="shared" si="3"/>
        <v>0</v>
      </c>
      <c r="AC26" s="1">
        <f t="shared" si="4"/>
        <v>0</v>
      </c>
      <c r="AD26" s="1">
        <f t="shared" si="5"/>
        <v>0</v>
      </c>
      <c r="AE26" s="1">
        <f t="shared" si="6"/>
        <v>0</v>
      </c>
      <c r="AF26" s="1">
        <f>IF(C26="Orlov",7.4*Stamoplysninger!$E$15,0)</f>
        <v>0</v>
      </c>
      <c r="AG26" t="str">
        <f>IF(AND(C26="Skema 1",B26="ma"),Arbejdstidsoversigt!$E$44,"")</f>
        <v/>
      </c>
      <c r="AH26" t="str">
        <f>IF(AND(C26="Skema 1",B26="ti"),Arbejdstidsoversigt!$E$45,"")</f>
        <v/>
      </c>
      <c r="AI26" t="str">
        <f>IF(AND(C26="Skema 1",B26="on"),Arbejdstidsoversigt!$E$46,"")</f>
        <v/>
      </c>
      <c r="AJ26">
        <f>IF(AND(C26="Skema 1",B26="to"),Arbejdstidsoversigt!$E$47,"")</f>
        <v>0</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7"/>
        <v>0</v>
      </c>
      <c r="BC26" s="1">
        <f t="shared" si="21"/>
        <v>0</v>
      </c>
      <c r="BD26" s="1">
        <f t="shared" si="8"/>
        <v>0</v>
      </c>
      <c r="BE26" s="1">
        <f t="shared" si="9"/>
        <v>0</v>
      </c>
      <c r="BF26" s="1">
        <f t="shared" si="10"/>
        <v>0</v>
      </c>
      <c r="BG26" s="214" t="str">
        <f>IF(AND(C26="Skema 1",B26="ma"),Skemaoplysninger!$E$30,"")</f>
        <v/>
      </c>
      <c r="BH26" s="214" t="str">
        <f>IF(AND(C26="Skema 1",B26="ti"),Skemaoplysninger!$F$30,"")</f>
        <v/>
      </c>
      <c r="BI26" s="214" t="str">
        <f>IF(AND(C26="Skema 1",B26="on"),Skemaoplysninger!$G$30,"")</f>
        <v/>
      </c>
      <c r="BJ26" s="214">
        <f>IF(AND(C26="Skema 1",B26="to"),Skemaoplysninger!$H$30,"")</f>
        <v>0</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1"/>
        <v>0</v>
      </c>
      <c r="CC26" s="1">
        <f t="shared" si="12"/>
        <v>0</v>
      </c>
      <c r="CD26" s="214" t="str">
        <f>IF(AND(C26="Skema 1",B26="ma"),Skemaoplysninger!$E$39,"")</f>
        <v/>
      </c>
      <c r="CE26" s="214" t="str">
        <f>IF(AND(C26="Skema 1",B26="ti"),Skemaoplysninger!$F$39,"")</f>
        <v/>
      </c>
      <c r="CF26" s="214" t="str">
        <f>IF(AND(C26="Skema 1",B26="on"),Skemaoplysninger!$G$39,"")</f>
        <v/>
      </c>
      <c r="CG26" s="214">
        <f>IF(AND(C26="Skema 1",B26="to"),Skemaoplysninger!$H$39,"")</f>
        <v>0</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3"/>
        <v/>
      </c>
      <c r="DL26" t="str">
        <f t="shared" si="13"/>
        <v/>
      </c>
      <c r="DM26" t="str">
        <f t="shared" si="13"/>
        <v/>
      </c>
      <c r="DN26" t="str">
        <f t="shared" si="27"/>
        <v/>
      </c>
    </row>
    <row r="27" spans="1:118">
      <c r="A27" s="249">
        <f t="shared" si="14"/>
        <v>19</v>
      </c>
      <c r="B27" s="132" t="str">
        <f t="shared" si="0"/>
        <v>fr</v>
      </c>
      <c r="C27" s="133" t="s">
        <v>209</v>
      </c>
      <c r="D27" s="134" t="str">
        <f t="shared" si="1"/>
        <v/>
      </c>
      <c r="E27" s="871"/>
      <c r="F27" s="872"/>
      <c r="G27" s="873"/>
      <c r="H27" s="313"/>
      <c r="I27" s="582"/>
      <c r="J27" s="440"/>
      <c r="K27" s="405"/>
      <c r="L27" s="405"/>
      <c r="M27" s="405"/>
      <c r="N27" s="334">
        <f t="shared" si="15"/>
        <v>0</v>
      </c>
      <c r="O27" s="334">
        <f t="shared" si="16"/>
        <v>0</v>
      </c>
      <c r="P27" s="334">
        <f>IF(Stamoplysninger!$H$29="JA",April!DG27,CX27)</f>
        <v>0</v>
      </c>
      <c r="Q27" s="334">
        <f t="shared" si="17"/>
        <v>0</v>
      </c>
      <c r="R27" s="335"/>
      <c r="S27" s="341"/>
      <c r="T27" s="342"/>
      <c r="U27" s="342"/>
      <c r="V27" s="462"/>
      <c r="W27" s="336"/>
      <c r="X27" s="469"/>
      <c r="Y27">
        <f t="shared" si="18"/>
        <v>0</v>
      </c>
      <c r="Z27" s="467">
        <f t="shared" si="19"/>
        <v>0</v>
      </c>
      <c r="AA27" s="1">
        <f t="shared" si="2"/>
        <v>0</v>
      </c>
      <c r="AB27" s="1">
        <f t="shared" si="3"/>
        <v>0</v>
      </c>
      <c r="AC27" s="1">
        <f t="shared" si="4"/>
        <v>0</v>
      </c>
      <c r="AD27" s="1">
        <f t="shared" si="5"/>
        <v>0</v>
      </c>
      <c r="AE27" s="1">
        <f t="shared" si="6"/>
        <v>0</v>
      </c>
      <c r="AF27" s="1">
        <f>IF(C27="Orlov",7.4*Stamoplysninger!$E$15,0)</f>
        <v>0</v>
      </c>
      <c r="AG27" t="str">
        <f>IF(AND(C27="Skema 1",B27="ma"),Arbejdstidsoversigt!$E$44,"")</f>
        <v/>
      </c>
      <c r="AH27" t="str">
        <f>IF(AND(C27="Skema 1",B27="ti"),Arbejdstidsoversigt!$E$45,"")</f>
        <v/>
      </c>
      <c r="AI27" t="str">
        <f>IF(AND(C27="Skema 1",B27="on"),Arbejdstidsoversigt!$E$46,"")</f>
        <v/>
      </c>
      <c r="AJ27" t="str">
        <f>IF(AND(C27="Skema 1",B27="to"),Arbejdstidsoversigt!$E$47,"")</f>
        <v/>
      </c>
      <c r="AK27">
        <f>IF(AND(C27="Skema 1",B27="fr"),Arbejdstidsoversigt!$E$48,"")</f>
        <v>0</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7"/>
        <v>0</v>
      </c>
      <c r="BC27" s="1">
        <f t="shared" si="21"/>
        <v>0</v>
      </c>
      <c r="BD27" s="1">
        <f t="shared" si="8"/>
        <v>0</v>
      </c>
      <c r="BE27" s="1">
        <f t="shared" si="9"/>
        <v>0</v>
      </c>
      <c r="BF27" s="1">
        <f t="shared" si="10"/>
        <v>0</v>
      </c>
      <c r="BG27" s="214" t="str">
        <f>IF(AND(C27="Skema 1",B27="ma"),Skemaoplysninger!$E$30,"")</f>
        <v/>
      </c>
      <c r="BH27" s="214" t="str">
        <f>IF(AND(C27="Skema 1",B27="ti"),Skemaoplysninger!$F$30,"")</f>
        <v/>
      </c>
      <c r="BI27" s="214" t="str">
        <f>IF(AND(C27="Skema 1",B27="on"),Skemaoplysninger!$G$30,"")</f>
        <v/>
      </c>
      <c r="BJ27" s="214" t="str">
        <f>IF(AND(C27="Skema 1",B27="to"),Skemaoplysninger!$H$30,"")</f>
        <v/>
      </c>
      <c r="BK27" s="214">
        <f>IF(AND(C27="Skema 1",B27="fr"),Skemaoplysninger!$I$30,"")</f>
        <v>0</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1"/>
        <v>0</v>
      </c>
      <c r="CC27" s="1">
        <f t="shared" si="12"/>
        <v>0</v>
      </c>
      <c r="CD27" s="214" t="str">
        <f>IF(AND(C27="Skema 1",B27="ma"),Skemaoplysninger!$E$39,"")</f>
        <v/>
      </c>
      <c r="CE27" s="214" t="str">
        <f>IF(AND(C27="Skema 1",B27="ti"),Skemaoplysninger!$F$39,"")</f>
        <v/>
      </c>
      <c r="CF27" s="214" t="str">
        <f>IF(AND(C27="Skema 1",B27="on"),Skemaoplysninger!$G$39,"")</f>
        <v/>
      </c>
      <c r="CG27" s="214" t="str">
        <f>IF(AND(C27="Skema 1",B27="to"),Skemaoplysninger!$H$39,"")</f>
        <v/>
      </c>
      <c r="CH27" s="214">
        <f>IF(AND(C27="Skema 1",B27="fr"),Skemaoplysninger!$I$39,"")</f>
        <v>0</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f t="shared" si="25"/>
        <v>0</v>
      </c>
      <c r="DJ27">
        <f t="shared" si="26"/>
        <v>0</v>
      </c>
      <c r="DK27" t="str">
        <f t="shared" si="13"/>
        <v/>
      </c>
      <c r="DL27" t="str">
        <f t="shared" si="13"/>
        <v/>
      </c>
      <c r="DM27" t="str">
        <f t="shared" si="13"/>
        <v/>
      </c>
      <c r="DN27" t="str">
        <f t="shared" si="27"/>
        <v/>
      </c>
    </row>
    <row r="28" spans="1:118">
      <c r="A28" s="249">
        <f t="shared" si="14"/>
        <v>20</v>
      </c>
      <c r="B28" s="132" t="str">
        <f t="shared" si="0"/>
        <v>lø</v>
      </c>
      <c r="C28" s="133" t="s">
        <v>121</v>
      </c>
      <c r="D28" s="134" t="str">
        <f t="shared" si="1"/>
        <v/>
      </c>
      <c r="E28" s="871"/>
      <c r="F28" s="872"/>
      <c r="G28" s="873"/>
      <c r="H28" s="313"/>
      <c r="I28" s="440"/>
      <c r="J28" s="440"/>
      <c r="K28" s="405"/>
      <c r="L28" s="405"/>
      <c r="M28" s="405"/>
      <c r="N28" s="334">
        <f t="shared" si="15"/>
        <v>0</v>
      </c>
      <c r="O28" s="334">
        <f t="shared" si="16"/>
        <v>0</v>
      </c>
      <c r="P28" s="334">
        <f>IF(Stamoplysninger!$H$29="JA",April!DG28,CX28)</f>
        <v>0</v>
      </c>
      <c r="Q28" s="334">
        <f t="shared" si="17"/>
        <v>0</v>
      </c>
      <c r="R28" s="335"/>
      <c r="S28" s="341"/>
      <c r="T28" s="342"/>
      <c r="U28" s="342"/>
      <c r="V28" s="462"/>
      <c r="W28" s="336"/>
      <c r="X28" s="469"/>
      <c r="Y28">
        <f t="shared" si="18"/>
        <v>0</v>
      </c>
      <c r="Z28" s="467">
        <f t="shared" si="19"/>
        <v>0</v>
      </c>
      <c r="AA28" s="1">
        <f t="shared" si="2"/>
        <v>0</v>
      </c>
      <c r="AB28" s="1">
        <f t="shared" si="3"/>
        <v>0</v>
      </c>
      <c r="AC28" s="1">
        <f t="shared" si="4"/>
        <v>0</v>
      </c>
      <c r="AD28" s="1">
        <f t="shared" si="5"/>
        <v>0</v>
      </c>
      <c r="AE28" s="1">
        <f t="shared" si="6"/>
        <v>0</v>
      </c>
      <c r="AF28" s="1">
        <f>IF(C28="Orlov",7.4*Stamoplysninger!$E$15,0)</f>
        <v>0</v>
      </c>
      <c r="AG28" t="str">
        <f>IF(AND(C28="Skema 1",B28="ma"),Arbejdstidsoversigt!$E$44,"")</f>
        <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7"/>
        <v>0</v>
      </c>
      <c r="BC28" s="1">
        <f t="shared" si="21"/>
        <v>0</v>
      </c>
      <c r="BD28" s="1">
        <f t="shared" si="8"/>
        <v>0</v>
      </c>
      <c r="BE28" s="1">
        <f t="shared" si="9"/>
        <v>0</v>
      </c>
      <c r="BF28" s="1">
        <f t="shared" si="10"/>
        <v>0</v>
      </c>
      <c r="BG28" s="214" t="str">
        <f>IF(AND(C28="Skema 1",B28="ma"),Skemaoplysninger!$E$30,"")</f>
        <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1"/>
        <v>0</v>
      </c>
      <c r="CC28" s="1">
        <f t="shared" si="12"/>
        <v>0</v>
      </c>
      <c r="CD28" s="214" t="str">
        <f>IF(AND(C28="Skema 1",B28="ma"),Skemaoplysninger!$E$39,"")</f>
        <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3"/>
        <v/>
      </c>
      <c r="DL28" t="str">
        <f t="shared" si="13"/>
        <v/>
      </c>
      <c r="DM28" t="str">
        <f t="shared" si="13"/>
        <v/>
      </c>
      <c r="DN28" t="str">
        <f t="shared" si="27"/>
        <v/>
      </c>
    </row>
    <row r="29" spans="1:118">
      <c r="A29" s="249">
        <f t="shared" si="14"/>
        <v>21</v>
      </c>
      <c r="B29" s="132" t="str">
        <f t="shared" si="0"/>
        <v>sø</v>
      </c>
      <c r="C29" s="133" t="s">
        <v>121</v>
      </c>
      <c r="D29" s="134" t="str">
        <f t="shared" si="1"/>
        <v/>
      </c>
      <c r="E29" s="871"/>
      <c r="F29" s="872"/>
      <c r="G29" s="873"/>
      <c r="H29" s="313"/>
      <c r="I29" s="440"/>
      <c r="J29" s="440"/>
      <c r="K29" s="405"/>
      <c r="L29" s="405"/>
      <c r="M29" s="405"/>
      <c r="N29" s="334">
        <f t="shared" si="15"/>
        <v>0</v>
      </c>
      <c r="O29" s="334">
        <f t="shared" si="16"/>
        <v>0</v>
      </c>
      <c r="P29" s="334">
        <f>IF(Stamoplysninger!$H$29="JA",April!DG29,CX29)</f>
        <v>0</v>
      </c>
      <c r="Q29" s="334">
        <f t="shared" si="17"/>
        <v>0</v>
      </c>
      <c r="R29" s="335"/>
      <c r="S29" s="341"/>
      <c r="T29" s="342"/>
      <c r="U29" s="342"/>
      <c r="V29" s="462"/>
      <c r="W29" s="336"/>
      <c r="X29" s="469"/>
      <c r="Y29">
        <f t="shared" si="18"/>
        <v>0</v>
      </c>
      <c r="Z29" s="467">
        <f t="shared" si="19"/>
        <v>0</v>
      </c>
      <c r="AA29" s="1">
        <f t="shared" si="2"/>
        <v>0</v>
      </c>
      <c r="AB29" s="1">
        <f t="shared" si="3"/>
        <v>0</v>
      </c>
      <c r="AC29" s="1">
        <f t="shared" si="4"/>
        <v>0</v>
      </c>
      <c r="AD29" s="1">
        <f t="shared" si="5"/>
        <v>0</v>
      </c>
      <c r="AE29" s="1">
        <f t="shared" si="6"/>
        <v>0</v>
      </c>
      <c r="AF29" s="1">
        <f>IF(C29="Orlov",7.4*Stamoplysninger!$E$15,0)</f>
        <v>0</v>
      </c>
      <c r="AG29" t="str">
        <f>IF(AND(C29="Skema 1",B29="ma"),Arbejdstidsoversigt!$E$44,"")</f>
        <v/>
      </c>
      <c r="AH29" t="str">
        <f>IF(AND(C29="Skema 1",B29="ti"),Arbejdstidsoversigt!$E$45,"")</f>
        <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7"/>
        <v>0</v>
      </c>
      <c r="BC29" s="1">
        <f t="shared" si="21"/>
        <v>0</v>
      </c>
      <c r="BD29" s="1">
        <f t="shared" si="8"/>
        <v>0</v>
      </c>
      <c r="BE29" s="1">
        <f t="shared" si="9"/>
        <v>0</v>
      </c>
      <c r="BF29" s="1">
        <f t="shared" si="10"/>
        <v>0</v>
      </c>
      <c r="BG29" s="214" t="str">
        <f>IF(AND(C29="Skema 1",B29="ma"),Skemaoplysninger!$E$30,"")</f>
        <v/>
      </c>
      <c r="BH29" s="214" t="str">
        <f>IF(AND(C29="Skema 1",B29="ti"),Skemaoplysninger!$F$30,"")</f>
        <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1"/>
        <v>0</v>
      </c>
      <c r="CC29" s="1">
        <f t="shared" si="12"/>
        <v>0</v>
      </c>
      <c r="CD29" s="214" t="str">
        <f>IF(AND(C29="Skema 1",B29="ma"),Skemaoplysninger!$E$39,"")</f>
        <v/>
      </c>
      <c r="CE29" s="214" t="str">
        <f>IF(AND(C29="Skema 1",B29="ti"),Skemaoplysninger!$F$39,"")</f>
        <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3"/>
        <v/>
      </c>
      <c r="DL29" t="str">
        <f t="shared" si="13"/>
        <v/>
      </c>
      <c r="DM29" t="str">
        <f t="shared" si="13"/>
        <v/>
      </c>
      <c r="DN29" t="str">
        <f t="shared" si="27"/>
        <v/>
      </c>
    </row>
    <row r="30" spans="1:118">
      <c r="A30" s="249">
        <f t="shared" si="14"/>
        <v>22</v>
      </c>
      <c r="B30" s="132" t="str">
        <f t="shared" si="0"/>
        <v>ma</v>
      </c>
      <c r="C30" s="133" t="s">
        <v>209</v>
      </c>
      <c r="D30" s="134">
        <f t="shared" si="1"/>
        <v>17</v>
      </c>
      <c r="E30" s="871"/>
      <c r="F30" s="872"/>
      <c r="G30" s="873"/>
      <c r="H30" s="313"/>
      <c r="I30" s="582"/>
      <c r="J30" s="440"/>
      <c r="K30" s="405"/>
      <c r="L30" s="405"/>
      <c r="M30" s="405"/>
      <c r="N30" s="334">
        <f t="shared" si="15"/>
        <v>0</v>
      </c>
      <c r="O30" s="334">
        <f t="shared" si="16"/>
        <v>0</v>
      </c>
      <c r="P30" s="334">
        <f>IF(Stamoplysninger!$H$29="JA",April!DG30,CX30)</f>
        <v>0</v>
      </c>
      <c r="Q30" s="334">
        <f t="shared" si="17"/>
        <v>0</v>
      </c>
      <c r="R30" s="335"/>
      <c r="S30" s="341"/>
      <c r="T30" s="342"/>
      <c r="U30" s="342"/>
      <c r="V30" s="462"/>
      <c r="W30" s="336"/>
      <c r="X30" s="469"/>
      <c r="Y30">
        <f t="shared" si="18"/>
        <v>0</v>
      </c>
      <c r="Z30" s="467">
        <f t="shared" si="19"/>
        <v>0</v>
      </c>
      <c r="AA30" s="1">
        <f t="shared" si="2"/>
        <v>0</v>
      </c>
      <c r="AB30" s="1">
        <f t="shared" si="3"/>
        <v>0</v>
      </c>
      <c r="AC30" s="1">
        <f t="shared" si="4"/>
        <v>0</v>
      </c>
      <c r="AD30" s="1">
        <f t="shared" si="5"/>
        <v>0</v>
      </c>
      <c r="AE30" s="1">
        <f t="shared" si="6"/>
        <v>0</v>
      </c>
      <c r="AF30" s="1">
        <f>IF(C30="Orlov",7.4*Stamoplysninger!$E$15,0)</f>
        <v>0</v>
      </c>
      <c r="AG30">
        <f>IF(AND(C30="Skema 1",B30="ma"),Arbejdstidsoversigt!$E$44,"")</f>
        <v>0</v>
      </c>
      <c r="AH30" t="str">
        <f>IF(AND(C30="Skema 1",B30="ti"),Arbejdstidsoversigt!$E$45,"")</f>
        <v/>
      </c>
      <c r="AI30" t="str">
        <f>IF(AND(C30="Skema 1",B30="on"),Arbejdstidsoversigt!$E$46,"")</f>
        <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7"/>
        <v>0</v>
      </c>
      <c r="BC30" s="1">
        <f t="shared" si="21"/>
        <v>0</v>
      </c>
      <c r="BD30" s="1">
        <f t="shared" si="8"/>
        <v>0</v>
      </c>
      <c r="BE30" s="1">
        <f t="shared" si="9"/>
        <v>0</v>
      </c>
      <c r="BF30" s="1">
        <f t="shared" si="10"/>
        <v>0</v>
      </c>
      <c r="BG30" s="214">
        <f>IF(AND(C30="Skema 1",B30="ma"),Skemaoplysninger!$E$30,"")</f>
        <v>0</v>
      </c>
      <c r="BH30" s="214" t="str">
        <f>IF(AND(C30="Skema 1",B30="ti"),Skemaoplysninger!$F$30,"")</f>
        <v/>
      </c>
      <c r="BI30" s="214" t="str">
        <f>IF(AND(C30="Skema 1",B30="on"),Skemaoplysninger!$G$30,"")</f>
        <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1"/>
        <v>0</v>
      </c>
      <c r="CC30" s="1">
        <f t="shared" si="12"/>
        <v>0</v>
      </c>
      <c r="CD30" s="214">
        <f>IF(AND(C30="Skema 1",B30="ma"),Skemaoplysninger!$E$39,"")</f>
        <v>0</v>
      </c>
      <c r="CE30" s="214" t="str">
        <f>IF(AND(C30="Skema 1",B30="ti"),Skemaoplysninger!$F$39,"")</f>
        <v/>
      </c>
      <c r="CF30" s="214" t="str">
        <f>IF(AND(C30="Skema 1",B30="on"),Skemaoplysninger!$G$39,"")</f>
        <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3"/>
        <v/>
      </c>
      <c r="DL30" t="str">
        <f t="shared" si="13"/>
        <v/>
      </c>
      <c r="DM30" t="str">
        <f t="shared" si="13"/>
        <v/>
      </c>
      <c r="DN30" t="str">
        <f t="shared" si="27"/>
        <v/>
      </c>
    </row>
    <row r="31" spans="1:118">
      <c r="A31" s="249">
        <f t="shared" si="14"/>
        <v>23</v>
      </c>
      <c r="B31" s="132" t="str">
        <f t="shared" si="0"/>
        <v>ti</v>
      </c>
      <c r="C31" s="133" t="s">
        <v>209</v>
      </c>
      <c r="D31" s="134" t="str">
        <f t="shared" si="1"/>
        <v/>
      </c>
      <c r="E31" s="871"/>
      <c r="F31" s="872"/>
      <c r="G31" s="873"/>
      <c r="H31" s="313"/>
      <c r="I31" s="582"/>
      <c r="J31" s="440"/>
      <c r="K31" s="405"/>
      <c r="L31" s="405"/>
      <c r="M31" s="405"/>
      <c r="N31" s="334">
        <f t="shared" si="15"/>
        <v>0</v>
      </c>
      <c r="O31" s="334">
        <f t="shared" si="16"/>
        <v>0</v>
      </c>
      <c r="P31" s="334">
        <f>IF(Stamoplysninger!$H$29="JA",April!DG31,CX31)</f>
        <v>0</v>
      </c>
      <c r="Q31" s="334">
        <f t="shared" si="17"/>
        <v>0</v>
      </c>
      <c r="R31" s="335"/>
      <c r="S31" s="341"/>
      <c r="T31" s="342"/>
      <c r="U31" s="342"/>
      <c r="V31" s="462"/>
      <c r="W31" s="336"/>
      <c r="X31" s="469"/>
      <c r="Y31">
        <f t="shared" si="18"/>
        <v>0</v>
      </c>
      <c r="Z31" s="467">
        <f t="shared" si="19"/>
        <v>0</v>
      </c>
      <c r="AA31" s="1">
        <f t="shared" si="2"/>
        <v>0</v>
      </c>
      <c r="AB31" s="1">
        <f t="shared" si="3"/>
        <v>0</v>
      </c>
      <c r="AC31" s="1">
        <f t="shared" si="4"/>
        <v>0</v>
      </c>
      <c r="AD31" s="1">
        <f t="shared" si="5"/>
        <v>0</v>
      </c>
      <c r="AE31" s="1">
        <f t="shared" si="6"/>
        <v>0</v>
      </c>
      <c r="AF31" s="1">
        <f>IF(C31="Orlov",7.4*Stamoplysninger!$E$15,0)</f>
        <v>0</v>
      </c>
      <c r="AG31" t="str">
        <f>IF(AND(C31="Skema 1",B31="ma"),Arbejdstidsoversigt!$E$44,"")</f>
        <v/>
      </c>
      <c r="AH31">
        <f>IF(AND(C31="Skema 1",B31="ti"),Arbejdstidsoversigt!$E$45,"")</f>
        <v>0</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7"/>
        <v>0</v>
      </c>
      <c r="BC31" s="1">
        <f t="shared" si="21"/>
        <v>0</v>
      </c>
      <c r="BD31" s="1">
        <f t="shared" si="8"/>
        <v>0</v>
      </c>
      <c r="BE31" s="1">
        <f t="shared" si="9"/>
        <v>0</v>
      </c>
      <c r="BF31" s="1">
        <f t="shared" si="10"/>
        <v>0</v>
      </c>
      <c r="BG31" s="214" t="str">
        <f>IF(AND(C31="Skema 1",B31="ma"),Skemaoplysninger!$E$30,"")</f>
        <v/>
      </c>
      <c r="BH31" s="214">
        <f>IF(AND(C31="Skema 1",B31="ti"),Skemaoplysninger!$F$30,"")</f>
        <v>0</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1"/>
        <v>0</v>
      </c>
      <c r="CC31" s="1">
        <f t="shared" si="12"/>
        <v>0</v>
      </c>
      <c r="CD31" s="214" t="str">
        <f>IF(AND(C31="Skema 1",B31="ma"),Skemaoplysninger!$E$39,"")</f>
        <v/>
      </c>
      <c r="CE31" s="214">
        <f>IF(AND(C31="Skema 1",B31="ti"),Skemaoplysninger!$F$39,"")</f>
        <v>0</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3"/>
        <v/>
      </c>
      <c r="DL31" t="str">
        <f t="shared" si="13"/>
        <v/>
      </c>
      <c r="DM31" t="str">
        <f t="shared" si="13"/>
        <v/>
      </c>
      <c r="DN31" t="str">
        <f t="shared" si="27"/>
        <v/>
      </c>
    </row>
    <row r="32" spans="1:118">
      <c r="A32" s="249">
        <f t="shared" si="14"/>
        <v>24</v>
      </c>
      <c r="B32" s="132" t="str">
        <f t="shared" si="0"/>
        <v>on</v>
      </c>
      <c r="C32" s="133" t="s">
        <v>209</v>
      </c>
      <c r="D32" s="134" t="str">
        <f t="shared" si="1"/>
        <v/>
      </c>
      <c r="E32" s="868"/>
      <c r="F32" s="869"/>
      <c r="G32" s="870"/>
      <c r="H32" s="313"/>
      <c r="I32" s="582"/>
      <c r="J32" s="440"/>
      <c r="K32" s="405"/>
      <c r="L32" s="405"/>
      <c r="M32" s="405"/>
      <c r="N32" s="334">
        <f t="shared" si="15"/>
        <v>0</v>
      </c>
      <c r="O32" s="334">
        <f t="shared" si="16"/>
        <v>0</v>
      </c>
      <c r="P32" s="334">
        <f>IF(Stamoplysninger!$H$29="JA",April!DG32,CX32)</f>
        <v>0</v>
      </c>
      <c r="Q32" s="334">
        <f t="shared" si="17"/>
        <v>0</v>
      </c>
      <c r="R32" s="335"/>
      <c r="S32" s="341"/>
      <c r="T32" s="342"/>
      <c r="U32" s="342"/>
      <c r="V32" s="462"/>
      <c r="W32" s="336"/>
      <c r="X32" s="469"/>
      <c r="Y32">
        <f t="shared" si="18"/>
        <v>0</v>
      </c>
      <c r="Z32" s="467">
        <f t="shared" si="19"/>
        <v>0</v>
      </c>
      <c r="AA32" s="1">
        <f t="shared" si="2"/>
        <v>0</v>
      </c>
      <c r="AB32" s="1">
        <f t="shared" si="3"/>
        <v>0</v>
      </c>
      <c r="AC32" s="1">
        <f t="shared" si="4"/>
        <v>0</v>
      </c>
      <c r="AD32" s="1">
        <f t="shared" si="5"/>
        <v>0</v>
      </c>
      <c r="AE32" s="1">
        <f t="shared" si="6"/>
        <v>0</v>
      </c>
      <c r="AF32" s="1">
        <f>IF(C32="Orlov",7.4*Stamoplysninger!$E$15,0)</f>
        <v>0</v>
      </c>
      <c r="AG32" t="str">
        <f>IF(AND(C32="Skema 1",B32="ma"),Arbejdstidsoversigt!$E$44,"")</f>
        <v/>
      </c>
      <c r="AH32" t="str">
        <f>IF(AND(C32="Skema 1",B32="ti"),Arbejdstidsoversigt!$E$45,"")</f>
        <v/>
      </c>
      <c r="AI32">
        <f>IF(AND(C32="Skema 1",B32="on"),Arbejdstidsoversigt!$E$46,"")</f>
        <v>0</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7"/>
        <v>0</v>
      </c>
      <c r="BC32" s="1">
        <f t="shared" si="21"/>
        <v>0</v>
      </c>
      <c r="BD32" s="1">
        <f t="shared" si="8"/>
        <v>0</v>
      </c>
      <c r="BE32" s="1">
        <f t="shared" si="9"/>
        <v>0</v>
      </c>
      <c r="BF32" s="1">
        <f t="shared" si="10"/>
        <v>0</v>
      </c>
      <c r="BG32" s="214" t="str">
        <f>IF(AND(C32="Skema 1",B32="ma"),Skemaoplysninger!$E$30,"")</f>
        <v/>
      </c>
      <c r="BH32" s="214" t="str">
        <f>IF(AND(C32="Skema 1",B32="ti"),Skemaoplysninger!$F$30,"")</f>
        <v/>
      </c>
      <c r="BI32" s="214">
        <f>IF(AND(C32="Skema 1",B32="on"),Skemaoplysninger!$G$30,"")</f>
        <v>0</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1"/>
        <v>0</v>
      </c>
      <c r="CC32" s="1">
        <f t="shared" si="12"/>
        <v>0</v>
      </c>
      <c r="CD32" s="214" t="str">
        <f>IF(AND(C32="Skema 1",B32="ma"),Skemaoplysninger!$E$39,"")</f>
        <v/>
      </c>
      <c r="CE32" s="214" t="str">
        <f>IF(AND(C32="Skema 1",B32="ti"),Skemaoplysninger!$F$39,"")</f>
        <v/>
      </c>
      <c r="CF32" s="214">
        <f>IF(AND(C32="Skema 1",B32="on"),Skemaoplysninger!$G$39,"")</f>
        <v>0</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f t="shared" si="25"/>
        <v>0</v>
      </c>
      <c r="DJ32">
        <f t="shared" si="26"/>
        <v>0</v>
      </c>
      <c r="DK32" t="str">
        <f t="shared" si="13"/>
        <v/>
      </c>
      <c r="DL32" t="str">
        <f t="shared" si="13"/>
        <v/>
      </c>
      <c r="DM32" t="str">
        <f t="shared" si="13"/>
        <v/>
      </c>
      <c r="DN32" t="str">
        <f t="shared" si="27"/>
        <v/>
      </c>
    </row>
    <row r="33" spans="1:118">
      <c r="A33" s="249">
        <f t="shared" si="14"/>
        <v>25</v>
      </c>
      <c r="B33" s="132" t="str">
        <f t="shared" si="0"/>
        <v>to</v>
      </c>
      <c r="C33" s="133" t="s">
        <v>209</v>
      </c>
      <c r="D33" s="134" t="str">
        <f t="shared" si="1"/>
        <v/>
      </c>
      <c r="E33" s="871"/>
      <c r="F33" s="872"/>
      <c r="G33" s="873"/>
      <c r="H33" s="313"/>
      <c r="I33" s="582"/>
      <c r="J33" s="440"/>
      <c r="K33" s="405"/>
      <c r="L33" s="405"/>
      <c r="M33" s="405"/>
      <c r="N33" s="334">
        <f t="shared" si="15"/>
        <v>0</v>
      </c>
      <c r="O33" s="334">
        <f t="shared" si="16"/>
        <v>0</v>
      </c>
      <c r="P33" s="334">
        <f>IF(Stamoplysninger!$H$29="JA",April!DG33,CX33)</f>
        <v>0</v>
      </c>
      <c r="Q33" s="334">
        <f t="shared" si="17"/>
        <v>0</v>
      </c>
      <c r="R33" s="335"/>
      <c r="S33" s="341"/>
      <c r="T33" s="342"/>
      <c r="U33" s="342"/>
      <c r="V33" s="462"/>
      <c r="W33" s="336"/>
      <c r="X33" s="469"/>
      <c r="Y33">
        <f t="shared" si="18"/>
        <v>0</v>
      </c>
      <c r="Z33" s="467">
        <f t="shared" si="19"/>
        <v>0</v>
      </c>
      <c r="AA33" s="1">
        <f t="shared" si="2"/>
        <v>0</v>
      </c>
      <c r="AB33" s="1">
        <f t="shared" si="3"/>
        <v>0</v>
      </c>
      <c r="AC33" s="1">
        <f t="shared" si="4"/>
        <v>0</v>
      </c>
      <c r="AD33" s="1">
        <f t="shared" si="5"/>
        <v>0</v>
      </c>
      <c r="AE33" s="1">
        <f t="shared" si="6"/>
        <v>0</v>
      </c>
      <c r="AF33" s="1">
        <f>IF(C33="Orlov",7.4*Stamoplysninger!$E$15,0)</f>
        <v>0</v>
      </c>
      <c r="AG33" t="str">
        <f>IF(AND(C33="Skema 1",B33="ma"),Arbejdstidsoversigt!$E$44,"")</f>
        <v/>
      </c>
      <c r="AH33" t="str">
        <f>IF(AND(C33="Skema 1",B33="ti"),Arbejdstidsoversigt!$E$45,"")</f>
        <v/>
      </c>
      <c r="AI33" t="str">
        <f>IF(AND(C33="Skema 1",B33="on"),Arbejdstidsoversigt!$E$46,"")</f>
        <v/>
      </c>
      <c r="AJ33">
        <f>IF(AND(C33="Skema 1",B33="to"),Arbejdstidsoversigt!$E$47,"")</f>
        <v>0</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7"/>
        <v>0</v>
      </c>
      <c r="BC33" s="1">
        <f t="shared" si="21"/>
        <v>0</v>
      </c>
      <c r="BD33" s="1">
        <f t="shared" si="8"/>
        <v>0</v>
      </c>
      <c r="BE33" s="1">
        <f t="shared" si="9"/>
        <v>0</v>
      </c>
      <c r="BF33" s="1">
        <f t="shared" si="10"/>
        <v>0</v>
      </c>
      <c r="BG33" s="214" t="str">
        <f>IF(AND(C33="Skema 1",B33="ma"),Skemaoplysninger!$E$30,"")</f>
        <v/>
      </c>
      <c r="BH33" s="214" t="str">
        <f>IF(AND(C33="Skema 1",B33="ti"),Skemaoplysninger!$F$30,"")</f>
        <v/>
      </c>
      <c r="BI33" s="214" t="str">
        <f>IF(AND(C33="Skema 1",B33="on"),Skemaoplysninger!$G$30,"")</f>
        <v/>
      </c>
      <c r="BJ33" s="214">
        <f>IF(AND(C33="Skema 1",B33="to"),Skemaoplysninger!$H$30,"")</f>
        <v>0</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1"/>
        <v>0</v>
      </c>
      <c r="CC33" s="1">
        <f t="shared" si="12"/>
        <v>0</v>
      </c>
      <c r="CD33" s="214" t="str">
        <f>IF(AND(C33="Skema 1",B33="ma"),Skemaoplysninger!$E$39,"")</f>
        <v/>
      </c>
      <c r="CE33" s="214" t="str">
        <f>IF(AND(C33="Skema 1",B33="ti"),Skemaoplysninger!$F$39,"")</f>
        <v/>
      </c>
      <c r="CF33" s="214" t="str">
        <f>IF(AND(C33="Skema 1",B33="on"),Skemaoplysninger!$G$39,"")</f>
        <v/>
      </c>
      <c r="CG33" s="214">
        <f>IF(AND(C33="Skema 1",B33="to"),Skemaoplysninger!$H$39,"")</f>
        <v>0</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3"/>
        <v/>
      </c>
      <c r="DL33" t="str">
        <f t="shared" si="13"/>
        <v/>
      </c>
      <c r="DM33" t="str">
        <f t="shared" si="13"/>
        <v/>
      </c>
      <c r="DN33" t="str">
        <f t="shared" si="27"/>
        <v/>
      </c>
    </row>
    <row r="34" spans="1:118">
      <c r="A34" s="249">
        <f t="shared" si="14"/>
        <v>26</v>
      </c>
      <c r="B34" s="132" t="str">
        <f t="shared" si="0"/>
        <v>fr</v>
      </c>
      <c r="C34" s="133" t="s">
        <v>209</v>
      </c>
      <c r="D34" s="134" t="str">
        <f t="shared" si="1"/>
        <v/>
      </c>
      <c r="E34" s="871"/>
      <c r="F34" s="872"/>
      <c r="G34" s="873"/>
      <c r="H34" s="313"/>
      <c r="I34" s="440"/>
      <c r="J34" s="440"/>
      <c r="K34" s="405"/>
      <c r="L34" s="405"/>
      <c r="M34" s="405"/>
      <c r="N34" s="334">
        <f t="shared" si="15"/>
        <v>0</v>
      </c>
      <c r="O34" s="334">
        <f t="shared" si="16"/>
        <v>0</v>
      </c>
      <c r="P34" s="334">
        <f>IF(Stamoplysninger!$H$29="JA",April!DG34,CX34)</f>
        <v>0</v>
      </c>
      <c r="Q34" s="334">
        <f t="shared" si="17"/>
        <v>0</v>
      </c>
      <c r="R34" s="335"/>
      <c r="S34" s="341"/>
      <c r="T34" s="342"/>
      <c r="U34" s="342"/>
      <c r="V34" s="462"/>
      <c r="W34" s="336"/>
      <c r="X34" s="469"/>
      <c r="Y34">
        <f t="shared" si="18"/>
        <v>0</v>
      </c>
      <c r="Z34" s="467">
        <f t="shared" si="19"/>
        <v>0</v>
      </c>
      <c r="AA34" s="1">
        <f t="shared" si="2"/>
        <v>0</v>
      </c>
      <c r="AB34" s="1">
        <f t="shared" si="3"/>
        <v>0</v>
      </c>
      <c r="AC34" s="1">
        <f t="shared" si="4"/>
        <v>0</v>
      </c>
      <c r="AD34" s="1">
        <f t="shared" si="5"/>
        <v>0</v>
      </c>
      <c r="AE34" s="1">
        <f t="shared" si="6"/>
        <v>0</v>
      </c>
      <c r="AF34" s="1">
        <f>IF(C34="Orlov",7.4*Stamoplysninger!$E$15,0)</f>
        <v>0</v>
      </c>
      <c r="AG34" t="str">
        <f>IF(AND(C34="Skema 1",B34="ma"),Arbejdstidsoversigt!$E$44,"")</f>
        <v/>
      </c>
      <c r="AH34" t="str">
        <f>IF(AND(C34="Skema 1",B34="ti"),Arbejdstidsoversigt!$E$45,"")</f>
        <v/>
      </c>
      <c r="AI34" t="str">
        <f>IF(AND(C34="Skema 1",B34="on"),Arbejdstidsoversigt!$E$46,"")</f>
        <v/>
      </c>
      <c r="AJ34" t="str">
        <f>IF(AND(C34="Skema 1",B34="to"),Arbejdstidsoversigt!$E$47,"")</f>
        <v/>
      </c>
      <c r="AK34">
        <f>IF(AND(C34="Skema 1",B34="fr"),Arbejdstidsoversigt!$E$48,"")</f>
        <v>0</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7"/>
        <v>0</v>
      </c>
      <c r="BC34" s="1">
        <f t="shared" si="21"/>
        <v>0</v>
      </c>
      <c r="BD34" s="1">
        <f t="shared" si="8"/>
        <v>0</v>
      </c>
      <c r="BE34" s="1">
        <f t="shared" si="9"/>
        <v>0</v>
      </c>
      <c r="BF34" s="1">
        <f t="shared" si="10"/>
        <v>0</v>
      </c>
      <c r="BG34" s="214" t="str">
        <f>IF(AND(C34="Skema 1",B34="ma"),Skemaoplysninger!$E$30,"")</f>
        <v/>
      </c>
      <c r="BH34" s="214" t="str">
        <f>IF(AND(C34="Skema 1",B34="ti"),Skemaoplysninger!$F$30,"")</f>
        <v/>
      </c>
      <c r="BI34" s="214" t="str">
        <f>IF(AND(C34="Skema 1",B34="on"),Skemaoplysninger!$G$30,"")</f>
        <v/>
      </c>
      <c r="BJ34" s="214" t="str">
        <f>IF(AND(C34="Skema 1",B34="to"),Skemaoplysninger!$H$30,"")</f>
        <v/>
      </c>
      <c r="BK34" s="214">
        <f>IF(AND(C34="Skema 1",B34="fr"),Skemaoplysninger!$I$30,"")</f>
        <v>0</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1"/>
        <v>0</v>
      </c>
      <c r="CC34" s="1">
        <f t="shared" si="12"/>
        <v>0</v>
      </c>
      <c r="CD34" s="214" t="str">
        <f>IF(AND(C34="Skema 1",B34="ma"),Skemaoplysninger!$E$39,"")</f>
        <v/>
      </c>
      <c r="CE34" s="214" t="str">
        <f>IF(AND(C34="Skema 1",B34="ti"),Skemaoplysninger!$F$39,"")</f>
        <v/>
      </c>
      <c r="CF34" s="214" t="str">
        <f>IF(AND(C34="Skema 1",B34="on"),Skemaoplysninger!$G$39,"")</f>
        <v/>
      </c>
      <c r="CG34" s="214" t="str">
        <f>IF(AND(C34="Skema 1",B34="to"),Skemaoplysninger!$H$39,"")</f>
        <v/>
      </c>
      <c r="CH34" s="214">
        <f>IF(AND(C34="Skema 1",B34="fr"),Skemaoplysninger!$I$39,"")</f>
        <v>0</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3"/>
        <v/>
      </c>
      <c r="DL34" t="str">
        <f t="shared" si="13"/>
        <v/>
      </c>
      <c r="DM34" t="str">
        <f t="shared" si="13"/>
        <v/>
      </c>
      <c r="DN34" t="str">
        <f t="shared" si="27"/>
        <v/>
      </c>
    </row>
    <row r="35" spans="1:118">
      <c r="A35" s="249">
        <f t="shared" si="14"/>
        <v>27</v>
      </c>
      <c r="B35" s="132" t="str">
        <f t="shared" si="0"/>
        <v>lø</v>
      </c>
      <c r="C35" s="133" t="s">
        <v>121</v>
      </c>
      <c r="D35" s="134" t="str">
        <f t="shared" si="1"/>
        <v/>
      </c>
      <c r="E35" s="871"/>
      <c r="F35" s="872"/>
      <c r="G35" s="873"/>
      <c r="H35" s="313"/>
      <c r="I35" s="440"/>
      <c r="J35" s="440"/>
      <c r="K35" s="405"/>
      <c r="L35" s="405"/>
      <c r="M35" s="405"/>
      <c r="N35" s="334">
        <f t="shared" si="15"/>
        <v>0</v>
      </c>
      <c r="O35" s="334">
        <f t="shared" si="16"/>
        <v>0</v>
      </c>
      <c r="P35" s="334">
        <f>IF(Stamoplysninger!$H$29="JA",April!DG35,CX35)</f>
        <v>0</v>
      </c>
      <c r="Q35" s="334">
        <f t="shared" si="17"/>
        <v>0</v>
      </c>
      <c r="R35" s="335"/>
      <c r="S35" s="341"/>
      <c r="T35" s="342"/>
      <c r="U35" s="342"/>
      <c r="V35" s="462"/>
      <c r="W35" s="336"/>
      <c r="X35" s="469"/>
      <c r="Y35">
        <f t="shared" si="18"/>
        <v>0</v>
      </c>
      <c r="Z35" s="467">
        <f t="shared" si="19"/>
        <v>0</v>
      </c>
      <c r="AA35" s="1">
        <f t="shared" si="2"/>
        <v>0</v>
      </c>
      <c r="AB35" s="1">
        <f t="shared" si="3"/>
        <v>0</v>
      </c>
      <c r="AC35" s="1">
        <f t="shared" si="4"/>
        <v>0</v>
      </c>
      <c r="AD35" s="1">
        <f t="shared" si="5"/>
        <v>0</v>
      </c>
      <c r="AE35" s="1">
        <f t="shared" si="6"/>
        <v>0</v>
      </c>
      <c r="AF35" s="1">
        <f>IF(C35="Orlov",7.4*Stamoplysninger!$E$15,0)</f>
        <v>0</v>
      </c>
      <c r="AG35" t="str">
        <f>IF(AND(C35="Skema 1",B35="ma"),Arbejdstidsoversigt!$E$44,"")</f>
        <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0</v>
      </c>
      <c r="BB35" s="233">
        <f t="shared" si="7"/>
        <v>0</v>
      </c>
      <c r="BC35" s="1">
        <f t="shared" si="21"/>
        <v>0</v>
      </c>
      <c r="BD35" s="1">
        <f t="shared" si="8"/>
        <v>0</v>
      </c>
      <c r="BE35" s="1">
        <f t="shared" si="9"/>
        <v>0</v>
      </c>
      <c r="BF35" s="1">
        <f t="shared" si="10"/>
        <v>0</v>
      </c>
      <c r="BG35" s="214" t="str">
        <f>IF(AND(C35="Skema 1",B35="ma"),Skemaoplysninger!$E$30,"")</f>
        <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1"/>
        <v>0</v>
      </c>
      <c r="CC35" s="1">
        <f t="shared" si="12"/>
        <v>0</v>
      </c>
      <c r="CD35" s="214" t="str">
        <f>IF(AND(C35="Skema 1",B35="ma"),Skemaoplysninger!$E$39,"")</f>
        <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3"/>
        <v/>
      </c>
      <c r="DL35" t="str">
        <f t="shared" si="13"/>
        <v/>
      </c>
      <c r="DM35" t="str">
        <f t="shared" si="13"/>
        <v/>
      </c>
      <c r="DN35" t="str">
        <f t="shared" si="27"/>
        <v/>
      </c>
    </row>
    <row r="36" spans="1:118">
      <c r="A36" s="249">
        <f t="shared" si="14"/>
        <v>28</v>
      </c>
      <c r="B36" s="132" t="str">
        <f t="shared" si="0"/>
        <v>sø</v>
      </c>
      <c r="C36" s="133" t="s">
        <v>121</v>
      </c>
      <c r="D36" s="134" t="str">
        <f t="shared" si="1"/>
        <v/>
      </c>
      <c r="E36" s="871"/>
      <c r="F36" s="872"/>
      <c r="G36" s="873"/>
      <c r="H36" s="313"/>
      <c r="I36" s="440"/>
      <c r="J36" s="440"/>
      <c r="K36" s="405"/>
      <c r="L36" s="405"/>
      <c r="M36" s="405"/>
      <c r="N36" s="334">
        <f t="shared" si="15"/>
        <v>0</v>
      </c>
      <c r="O36" s="334">
        <f t="shared" si="16"/>
        <v>0</v>
      </c>
      <c r="P36" s="334">
        <f>IF(Stamoplysninger!$H$29="JA",April!DG36,CX36)</f>
        <v>0</v>
      </c>
      <c r="Q36" s="334">
        <f t="shared" si="17"/>
        <v>0</v>
      </c>
      <c r="R36" s="335"/>
      <c r="S36" s="341"/>
      <c r="T36" s="342"/>
      <c r="U36" s="342"/>
      <c r="V36" s="462"/>
      <c r="W36" s="336"/>
      <c r="X36" s="469"/>
      <c r="Y36">
        <f t="shared" si="18"/>
        <v>0</v>
      </c>
      <c r="Z36" s="467">
        <f t="shared" si="19"/>
        <v>0</v>
      </c>
      <c r="AA36" s="1">
        <f t="shared" si="2"/>
        <v>0</v>
      </c>
      <c r="AB36" s="1">
        <f t="shared" si="3"/>
        <v>0</v>
      </c>
      <c r="AC36" s="1">
        <f t="shared" si="4"/>
        <v>0</v>
      </c>
      <c r="AD36" s="1">
        <f t="shared" si="5"/>
        <v>0</v>
      </c>
      <c r="AE36" s="1">
        <f t="shared" si="6"/>
        <v>0</v>
      </c>
      <c r="AF36" s="1">
        <f>IF(C36="Orlov",7.4*Stamoplysninger!$E$15,0)</f>
        <v>0</v>
      </c>
      <c r="AG36" t="str">
        <f>IF(AND(C36="Skema 1",B36="ma"),Arbejdstidsoversigt!$E$44,"")</f>
        <v/>
      </c>
      <c r="AH36" t="str">
        <f>IF(AND(C36="Skema 1",B36="ti"),Arbejdstidsoversigt!$E$45,"")</f>
        <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7"/>
        <v>0</v>
      </c>
      <c r="BC36" s="1">
        <f t="shared" si="21"/>
        <v>0</v>
      </c>
      <c r="BD36" s="1">
        <f t="shared" si="8"/>
        <v>0</v>
      </c>
      <c r="BE36" s="1">
        <f t="shared" si="9"/>
        <v>0</v>
      </c>
      <c r="BF36" s="1">
        <f t="shared" si="10"/>
        <v>0</v>
      </c>
      <c r="BG36" s="214" t="str">
        <f>IF(AND(C36="Skema 1",B36="ma"),Skemaoplysninger!$E$30,"")</f>
        <v/>
      </c>
      <c r="BH36" s="214" t="str">
        <f>IF(AND(C36="Skema 1",B36="ti"),Skemaoplysninger!$F$30,"")</f>
        <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1"/>
        <v>0</v>
      </c>
      <c r="CC36" s="1">
        <f t="shared" si="12"/>
        <v>0</v>
      </c>
      <c r="CD36" s="214" t="str">
        <f>IF(AND(C36="Skema 1",B36="ma"),Skemaoplysninger!$E$39,"")</f>
        <v/>
      </c>
      <c r="CE36" s="214" t="str">
        <f>IF(AND(C36="Skema 1",B36="ti"),Skemaoplysninger!$F$39,"")</f>
        <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3"/>
        <v/>
      </c>
      <c r="DL36" t="str">
        <f t="shared" si="13"/>
        <v/>
      </c>
      <c r="DM36" t="str">
        <f t="shared" si="13"/>
        <v/>
      </c>
      <c r="DN36" t="str">
        <f t="shared" si="27"/>
        <v/>
      </c>
    </row>
    <row r="37" spans="1:118">
      <c r="A37" s="249">
        <f>IF(ISNUMBER(A36),A36+1,1)</f>
        <v>29</v>
      </c>
      <c r="B37" s="132" t="str">
        <f t="shared" si="0"/>
        <v>ma</v>
      </c>
      <c r="C37" s="133" t="s">
        <v>209</v>
      </c>
      <c r="D37" s="134">
        <f t="shared" si="1"/>
        <v>18</v>
      </c>
      <c r="E37" s="871"/>
      <c r="F37" s="872"/>
      <c r="G37" s="873"/>
      <c r="H37" s="313"/>
      <c r="I37" s="582"/>
      <c r="J37" s="440"/>
      <c r="K37" s="405"/>
      <c r="L37" s="405"/>
      <c r="M37" s="405"/>
      <c r="N37" s="334">
        <f t="shared" si="15"/>
        <v>0</v>
      </c>
      <c r="O37" s="334">
        <f t="shared" si="16"/>
        <v>0</v>
      </c>
      <c r="P37" s="334">
        <f>IF(Stamoplysninger!$H$29="JA",April!DG37,CX37)</f>
        <v>0</v>
      </c>
      <c r="Q37" s="334">
        <f t="shared" si="17"/>
        <v>0</v>
      </c>
      <c r="R37" s="335"/>
      <c r="S37" s="341"/>
      <c r="T37" s="342"/>
      <c r="U37" s="342"/>
      <c r="V37" s="462"/>
      <c r="W37" s="336"/>
      <c r="X37" s="469"/>
      <c r="Y37">
        <f t="shared" si="18"/>
        <v>0</v>
      </c>
      <c r="Z37" s="467">
        <f t="shared" si="19"/>
        <v>0</v>
      </c>
      <c r="AA37" s="1">
        <f t="shared" si="2"/>
        <v>0</v>
      </c>
      <c r="AB37" s="1">
        <f t="shared" si="3"/>
        <v>0</v>
      </c>
      <c r="AC37" s="1">
        <f t="shared" si="4"/>
        <v>0</v>
      </c>
      <c r="AD37" s="1">
        <f t="shared" si="5"/>
        <v>0</v>
      </c>
      <c r="AE37" s="1">
        <f t="shared" si="6"/>
        <v>0</v>
      </c>
      <c r="AF37" s="1">
        <f>IF(C37="Orlov",7.4*Stamoplysninger!$E$15,0)</f>
        <v>0</v>
      </c>
      <c r="AG37">
        <f>IF(AND(C37="Skema 1",B37="ma"),Arbejdstidsoversigt!$E$44,"")</f>
        <v>0</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0</v>
      </c>
      <c r="BB37" s="233">
        <f t="shared" si="7"/>
        <v>0</v>
      </c>
      <c r="BC37" s="1">
        <f t="shared" si="21"/>
        <v>0</v>
      </c>
      <c r="BD37" s="1">
        <f t="shared" si="8"/>
        <v>0</v>
      </c>
      <c r="BE37" s="1">
        <f t="shared" si="9"/>
        <v>0</v>
      </c>
      <c r="BF37" s="1">
        <f t="shared" si="10"/>
        <v>0</v>
      </c>
      <c r="BG37" s="214">
        <f>IF(AND(C37="Skema 1",B37="ma"),Skemaoplysninger!$E$30,"")</f>
        <v>0</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1"/>
        <v>0</v>
      </c>
      <c r="CC37" s="1">
        <f t="shared" si="12"/>
        <v>0</v>
      </c>
      <c r="CD37" s="214">
        <f>IF(AND(C37="Skema 1",B37="ma"),Skemaoplysninger!$E$39,"")</f>
        <v>0</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3"/>
        <v/>
      </c>
      <c r="DL37" t="str">
        <f t="shared" si="13"/>
        <v/>
      </c>
      <c r="DM37" t="str">
        <f t="shared" si="13"/>
        <v/>
      </c>
      <c r="DN37" t="str">
        <f t="shared" si="27"/>
        <v/>
      </c>
    </row>
    <row r="38" spans="1:118">
      <c r="A38" s="249">
        <f t="shared" si="14"/>
        <v>30</v>
      </c>
      <c r="B38" s="132" t="str">
        <f t="shared" si="0"/>
        <v>ti</v>
      </c>
      <c r="C38" s="133" t="s">
        <v>209</v>
      </c>
      <c r="D38" s="134" t="str">
        <f t="shared" si="1"/>
        <v/>
      </c>
      <c r="E38" s="871"/>
      <c r="F38" s="872"/>
      <c r="G38" s="873"/>
      <c r="H38" s="313"/>
      <c r="I38" s="582"/>
      <c r="J38" s="440"/>
      <c r="K38" s="405"/>
      <c r="L38" s="405"/>
      <c r="M38" s="405"/>
      <c r="N38" s="334">
        <f t="shared" si="15"/>
        <v>0</v>
      </c>
      <c r="O38" s="334">
        <f t="shared" si="16"/>
        <v>0</v>
      </c>
      <c r="P38" s="334">
        <f>IF(Stamoplysninger!$H$29="JA",April!DG38,CX38)</f>
        <v>0</v>
      </c>
      <c r="Q38" s="334">
        <f t="shared" si="17"/>
        <v>0</v>
      </c>
      <c r="R38" s="335"/>
      <c r="S38" s="341"/>
      <c r="T38" s="342"/>
      <c r="U38" s="342"/>
      <c r="V38" s="462"/>
      <c r="W38" s="336"/>
      <c r="X38" s="469"/>
      <c r="Y38">
        <f t="shared" si="18"/>
        <v>0</v>
      </c>
      <c r="Z38" s="467">
        <f t="shared" si="19"/>
        <v>0</v>
      </c>
      <c r="AA38" s="1">
        <f t="shared" si="2"/>
        <v>0</v>
      </c>
      <c r="AB38" s="1">
        <f t="shared" si="3"/>
        <v>0</v>
      </c>
      <c r="AC38" s="1">
        <f t="shared" si="4"/>
        <v>0</v>
      </c>
      <c r="AD38" s="1">
        <f t="shared" si="5"/>
        <v>0</v>
      </c>
      <c r="AE38" s="1">
        <f t="shared" si="6"/>
        <v>0</v>
      </c>
      <c r="AF38" s="1">
        <f>IF(C38="Orlov",7.4*Stamoplysninger!$E$15,0)</f>
        <v>0</v>
      </c>
      <c r="AG38" t="str">
        <f>IF(AND(C38="Skema 1",B38="ma"),Arbejdstidsoversigt!$E$44,"")</f>
        <v/>
      </c>
      <c r="AH38">
        <f>IF(AND(C38="Skema 1",B38="ti"),Arbejdstidsoversigt!$E$45,"")</f>
        <v>0</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0</v>
      </c>
      <c r="BB38" s="233">
        <f t="shared" si="7"/>
        <v>0</v>
      </c>
      <c r="BC38" s="1">
        <f t="shared" si="21"/>
        <v>0</v>
      </c>
      <c r="BD38" s="1">
        <f t="shared" si="8"/>
        <v>0</v>
      </c>
      <c r="BE38" s="1">
        <f t="shared" si="9"/>
        <v>0</v>
      </c>
      <c r="BF38" s="1">
        <f t="shared" si="10"/>
        <v>0</v>
      </c>
      <c r="BG38" s="214" t="str">
        <f>IF(AND(C38="Skema 1",B38="ma"),Skemaoplysninger!$E$30,"")</f>
        <v/>
      </c>
      <c r="BH38" s="214">
        <f>IF(AND(C38="Skema 1",B38="ti"),Skemaoplysninger!$F$30,"")</f>
        <v>0</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3",B38="ti"),Skemaoplysninger!$Z$30,"")</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1"/>
        <v>0</v>
      </c>
      <c r="CC38" s="1">
        <f t="shared" si="12"/>
        <v>0</v>
      </c>
      <c r="CD38" s="214" t="str">
        <f>IF(AND(C38="Skema 1",B38="ma"),Skemaoplysninger!$E$39,"")</f>
        <v/>
      </c>
      <c r="CE38" s="214">
        <f>IF(AND(C38="Skema 1",B38="ti"),Skemaoplysninger!$F$39,"")</f>
        <v>0</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3"/>
        <v/>
      </c>
      <c r="DL38" t="str">
        <f t="shared" si="13"/>
        <v/>
      </c>
      <c r="DM38" t="str">
        <f t="shared" si="13"/>
        <v/>
      </c>
      <c r="DN38" t="str">
        <f t="shared" si="27"/>
        <v/>
      </c>
    </row>
    <row r="39" spans="1:118" ht="17" thickBot="1">
      <c r="A39" s="889" t="s">
        <v>263</v>
      </c>
      <c r="B39" s="890"/>
      <c r="C39" s="890"/>
      <c r="D39" s="890"/>
      <c r="E39" s="890"/>
      <c r="F39" s="890"/>
      <c r="G39" s="890"/>
      <c r="H39" s="890"/>
      <c r="I39" s="891"/>
      <c r="J39" s="329"/>
      <c r="K39" s="338"/>
      <c r="L39" s="338"/>
      <c r="M39" s="338"/>
      <c r="N39" s="339">
        <f t="shared" ref="N39:Q39" si="28">SUM(N9:N38)</f>
        <v>0</v>
      </c>
      <c r="O39" s="339">
        <f t="shared" si="28"/>
        <v>0</v>
      </c>
      <c r="P39" s="339">
        <f t="shared" si="28"/>
        <v>0</v>
      </c>
      <c r="Q39" s="339">
        <f t="shared" si="28"/>
        <v>0</v>
      </c>
      <c r="R39" s="340">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0</v>
      </c>
      <c r="S39" s="459"/>
      <c r="T39" s="460"/>
      <c r="U39" s="460"/>
      <c r="V39" s="460">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60">
        <f t="shared" ref="W39" si="29">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61">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5">
        <f>SUM(Y9:Y38)</f>
        <v>0</v>
      </c>
      <c r="Z39" s="425">
        <f>Z9+Z10+Z11+Z12+Z13+Z14+Z15+Z16+Z17+Z18+Z19+Z20+Z21+Z22+Z23+Z24+Z25+Z26+Z27+Z28+Z29+Z30+Z31+Z32+Z33+Z34+Z35+Z36+Z37+Z38</f>
        <v>0</v>
      </c>
      <c r="AA39" s="239">
        <f t="shared" ref="AA39:AF39" si="30">SUM(AA9:AA38)</f>
        <v>0</v>
      </c>
      <c r="AB39" s="239">
        <f t="shared" si="30"/>
        <v>0</v>
      </c>
      <c r="AC39" s="239">
        <f t="shared" si="30"/>
        <v>0</v>
      </c>
      <c r="AD39" s="239">
        <f t="shared" si="30"/>
        <v>0</v>
      </c>
      <c r="AE39" s="239">
        <f t="shared" si="30"/>
        <v>0</v>
      </c>
      <c r="AF39" s="239">
        <f t="shared" si="30"/>
        <v>0</v>
      </c>
      <c r="BA39" s="1">
        <f>SUM(BA9:BA38)</f>
        <v>0</v>
      </c>
      <c r="BB39" s="116"/>
      <c r="BC39" s="239">
        <f>SUM(BC9:BC38)</f>
        <v>0</v>
      </c>
      <c r="BD39" s="239">
        <f>SUM(BD9:BD38)</f>
        <v>0</v>
      </c>
      <c r="BE39" s="239">
        <f>SUM(BE9:BE38)</f>
        <v>0</v>
      </c>
      <c r="BF39" s="239">
        <f>SUM(BF9:BF38)</f>
        <v>0</v>
      </c>
      <c r="CA39" s="239">
        <f>SUM(CA9:CA38)</f>
        <v>0</v>
      </c>
      <c r="CB39" s="239">
        <f>SUM(CB9:CB38)</f>
        <v>0</v>
      </c>
      <c r="CC39" s="239">
        <f>SUM(CC9:CC38)</f>
        <v>0</v>
      </c>
      <c r="CX39" s="254"/>
      <c r="CY39" s="254">
        <f t="shared" ref="CY39:DG39" si="31">SUM(CY9:CY38)</f>
        <v>0</v>
      </c>
      <c r="CZ39" s="254">
        <f t="shared" si="31"/>
        <v>0</v>
      </c>
      <c r="DA39" s="254">
        <f t="shared" si="31"/>
        <v>0</v>
      </c>
      <c r="DB39" s="254">
        <f t="shared" si="31"/>
        <v>0</v>
      </c>
      <c r="DC39" s="254">
        <f t="shared" si="31"/>
        <v>0</v>
      </c>
      <c r="DD39" s="254">
        <f t="shared" si="31"/>
        <v>0</v>
      </c>
      <c r="DE39" s="254">
        <f t="shared" si="31"/>
        <v>0</v>
      </c>
      <c r="DF39" s="254">
        <f t="shared" si="31"/>
        <v>0</v>
      </c>
      <c r="DG39" s="254">
        <f t="shared" si="31"/>
        <v>0</v>
      </c>
    </row>
    <row r="40" spans="1:118" ht="17" thickBot="1">
      <c r="A40" s="236"/>
      <c r="B40" s="236"/>
      <c r="C40" s="236"/>
      <c r="D40" s="236"/>
      <c r="E40" s="236"/>
      <c r="F40" s="236"/>
      <c r="G40" s="236"/>
      <c r="H40" s="236"/>
      <c r="I40" s="236"/>
      <c r="J40" s="236"/>
      <c r="K40" s="243"/>
      <c r="L40" s="243"/>
      <c r="M40" s="243"/>
      <c r="N40" s="243"/>
      <c r="O40" s="243"/>
      <c r="P40" s="243"/>
      <c r="Q40" s="243"/>
      <c r="R40" s="243"/>
      <c r="S40" s="243"/>
      <c r="T40" s="243"/>
      <c r="U40" s="243"/>
      <c r="V40" s="243"/>
      <c r="W40" s="243"/>
      <c r="X40" s="243"/>
      <c r="Y40" s="252"/>
      <c r="Z40" s="215"/>
      <c r="AA40" s="239"/>
      <c r="AB40" s="215"/>
      <c r="AC40" s="215"/>
      <c r="AD40" s="239"/>
      <c r="AE40" s="239"/>
      <c r="AF40" s="239"/>
      <c r="AG40" s="239"/>
      <c r="BC40" s="239"/>
      <c r="BD40" s="239"/>
      <c r="BE40" s="239"/>
      <c r="BF40" s="239"/>
      <c r="BG40" s="116"/>
      <c r="CB40" s="239"/>
      <c r="CC40" s="239"/>
      <c r="CD40" s="116"/>
      <c r="CX40" s="253"/>
      <c r="CZ40"/>
    </row>
    <row r="41" spans="1:118" ht="70" customHeight="1">
      <c r="A41" s="875" t="str">
        <f>"Arbejdstid for "&amp;A7&amp;" måned:"</f>
        <v>Arbejdstid for April måned:</v>
      </c>
      <c r="B41" s="876"/>
      <c r="C41" s="876"/>
      <c r="D41" s="876"/>
      <c r="E41" s="876"/>
      <c r="F41" s="876"/>
      <c r="G41" s="876"/>
      <c r="H41" s="347" t="s">
        <v>258</v>
      </c>
      <c r="I41" s="876" t="s">
        <v>224</v>
      </c>
      <c r="J41" s="877"/>
      <c r="K41" s="878"/>
      <c r="L41" s="267"/>
      <c r="M41" s="843" t="str">
        <f>"Ulempetimer og weekendtimer i "&amp;A5&amp;""</f>
        <v>Ulempetimer og weekendtimer i April måneds kalender for: . Måneden vedr. normperioden:  - .</v>
      </c>
      <c r="N41" s="844"/>
      <c r="O41" s="844"/>
      <c r="P41" s="844"/>
      <c r="Q41" s="844"/>
      <c r="R41" s="844"/>
      <c r="S41" s="844"/>
      <c r="T41" s="844"/>
      <c r="U41" s="844"/>
      <c r="V41" s="844"/>
      <c r="W41" s="844"/>
      <c r="X41" s="845"/>
      <c r="Y41" s="243"/>
      <c r="Z41" s="243"/>
      <c r="AD41" s="94"/>
      <c r="AE41" s="94"/>
      <c r="BM41" s="1"/>
      <c r="CJ41" s="1"/>
      <c r="CU41" s="253"/>
      <c r="CV41" s="253"/>
      <c r="CY41"/>
      <c r="CZ41"/>
    </row>
    <row r="42" spans="1:118">
      <c r="A42" s="879" t="s">
        <v>601</v>
      </c>
      <c r="B42" s="880"/>
      <c r="C42" s="880"/>
      <c r="D42" s="880"/>
      <c r="E42" s="880"/>
      <c r="F42" s="880"/>
      <c r="G42" s="880"/>
      <c r="H42" s="261">
        <f>D77</f>
        <v>22</v>
      </c>
      <c r="I42" s="892">
        <f>IF(Stamoplysninger!$E$12="Ja",1924/Arbejdstidsoversigt!$K$9*Stamoplysninger!$E$15*H42,H42*7.4*Stamoplysninger!$E$15)</f>
        <v>0</v>
      </c>
      <c r="J42" s="893"/>
      <c r="K42" s="894"/>
      <c r="L42" s="263"/>
      <c r="M42" s="846" t="s">
        <v>550</v>
      </c>
      <c r="N42" s="847"/>
      <c r="O42" s="847"/>
      <c r="P42" s="847"/>
      <c r="Q42" s="847"/>
      <c r="R42" s="847"/>
      <c r="S42" s="847"/>
      <c r="T42" s="847"/>
      <c r="U42" s="848"/>
      <c r="V42" s="990">
        <f>M72+S71+T71+M75+M79+M73+N72+N79</f>
        <v>0</v>
      </c>
      <c r="W42" s="990"/>
      <c r="X42" s="991"/>
      <c r="Y42" s="243"/>
      <c r="Z42" s="243"/>
      <c r="AD42" s="94"/>
      <c r="AE42" s="94"/>
      <c r="BM42" s="1"/>
      <c r="CJ42" s="1"/>
      <c r="CU42" s="253"/>
      <c r="CV42" s="253"/>
      <c r="CY42"/>
      <c r="CZ42"/>
    </row>
    <row r="43" spans="1:118">
      <c r="A43" s="879" t="str">
        <f>"Ferie "&amp;A7&amp;" måned"</f>
        <v>Ferie April måned</v>
      </c>
      <c r="B43" s="880"/>
      <c r="C43" s="880"/>
      <c r="D43" s="880"/>
      <c r="E43" s="880"/>
      <c r="F43" s="880"/>
      <c r="G43" s="880"/>
      <c r="H43" s="262" t="str">
        <f>IF(D72&gt;0,$D$72,"0")</f>
        <v>0</v>
      </c>
      <c r="I43" s="881">
        <f>H43*7.4*Stamoplysninger!$E$15</f>
        <v>0</v>
      </c>
      <c r="J43" s="882"/>
      <c r="K43" s="883"/>
      <c r="L43" s="263"/>
      <c r="M43" s="852" t="s">
        <v>262</v>
      </c>
      <c r="N43" s="853"/>
      <c r="O43" s="853"/>
      <c r="P43" s="853"/>
      <c r="Q43" s="853"/>
      <c r="R43" s="853"/>
      <c r="S43" s="853"/>
      <c r="T43" s="853"/>
      <c r="U43" s="854"/>
      <c r="V43" s="992">
        <f>M71+S70+T70+M74+M78+M70+N70+N78</f>
        <v>0</v>
      </c>
      <c r="W43" s="992"/>
      <c r="X43" s="993"/>
      <c r="Y43" s="243"/>
      <c r="Z43" s="243"/>
      <c r="AD43" s="94"/>
      <c r="AE43" s="94"/>
      <c r="BM43" s="1"/>
      <c r="CJ43" s="1"/>
      <c r="CU43" s="253"/>
      <c r="CV43" s="253"/>
      <c r="CY43"/>
      <c r="CZ43"/>
    </row>
    <row r="44" spans="1:118">
      <c r="A44" s="879" t="str">
        <f>"Søgnehelligdage i "&amp;A7&amp;" måned"</f>
        <v>Søgnehelligdage i April måned</v>
      </c>
      <c r="B44" s="880"/>
      <c r="C44" s="880"/>
      <c r="D44" s="880"/>
      <c r="E44" s="880"/>
      <c r="F44" s="880"/>
      <c r="G44" s="880"/>
      <c r="H44" s="262">
        <f>IF(D71&gt;0,D71,0)</f>
        <v>1</v>
      </c>
      <c r="I44" s="881">
        <f>H44*7.4*Stamoplysninger!$E$15</f>
        <v>0</v>
      </c>
      <c r="J44" s="882"/>
      <c r="K44" s="883"/>
      <c r="L44" s="264"/>
      <c r="M44" s="1034" t="s">
        <v>301</v>
      </c>
      <c r="N44" s="1035"/>
      <c r="O44" s="1035"/>
      <c r="P44" s="1035"/>
      <c r="Q44" s="1035"/>
      <c r="R44" s="1035"/>
      <c r="S44" s="1035"/>
      <c r="T44" s="1035"/>
      <c r="U44" s="1036"/>
      <c r="V44" s="1037">
        <f>Marts!V53</f>
        <v>0</v>
      </c>
      <c r="W44" s="1038"/>
      <c r="X44" s="1041"/>
      <c r="Y44" s="243"/>
      <c r="Z44" s="243"/>
      <c r="AD44" s="94"/>
      <c r="AE44" s="94"/>
      <c r="BM44" s="1"/>
      <c r="CJ44" s="1"/>
      <c r="CU44" s="253"/>
      <c r="CV44" s="253"/>
      <c r="CY44"/>
      <c r="CZ44"/>
    </row>
    <row r="45" spans="1:118">
      <c r="A45" s="879" t="str">
        <f>"Nettoarbejdstid ialt i "&amp;A7&amp;" måned"</f>
        <v>Nettoarbejdstid ialt i April måned</v>
      </c>
      <c r="B45" s="880"/>
      <c r="C45" s="880"/>
      <c r="D45" s="880"/>
      <c r="E45" s="880"/>
      <c r="F45" s="880"/>
      <c r="G45" s="880"/>
      <c r="H45" s="265">
        <f>H42-H43-H44</f>
        <v>21</v>
      </c>
      <c r="I45" s="881">
        <f>I42-I43-I44</f>
        <v>0</v>
      </c>
      <c r="J45" s="882"/>
      <c r="K45" s="883"/>
      <c r="L45" s="414"/>
      <c r="M45" s="862" t="s">
        <v>308</v>
      </c>
      <c r="N45" s="863"/>
      <c r="O45" s="863"/>
      <c r="P45" s="863"/>
      <c r="Q45" s="863"/>
      <c r="R45" s="863"/>
      <c r="S45" s="863"/>
      <c r="T45" s="863"/>
      <c r="U45" s="864"/>
      <c r="V45" s="865">
        <f>SUM(V43:X44)</f>
        <v>0</v>
      </c>
      <c r="W45" s="866"/>
      <c r="X45" s="867"/>
      <c r="Y45" s="243"/>
      <c r="Z45" s="243"/>
      <c r="AD45" s="94"/>
      <c r="AE45" s="94"/>
      <c r="BM45" s="1"/>
      <c r="CJ45" s="1"/>
      <c r="CU45" s="253"/>
      <c r="CV45" s="253"/>
      <c r="CY45"/>
      <c r="CZ45"/>
    </row>
    <row r="46" spans="1:118">
      <c r="A46" s="895" t="str">
        <f>"Planlagt arbejdstid efter ovennstående "&amp;A7&amp;" måned kalender"</f>
        <v>Planlagt arbejdstid efter ovennstående April måned kalender</v>
      </c>
      <c r="B46" s="896"/>
      <c r="C46" s="896"/>
      <c r="D46" s="896"/>
      <c r="E46" s="896"/>
      <c r="F46" s="896"/>
      <c r="G46" s="896"/>
      <c r="H46" s="521">
        <f>D63+D64+D65+D66+D67+D68+D69</f>
        <v>21</v>
      </c>
      <c r="I46" s="897">
        <f>N39+R39-J66</f>
        <v>0</v>
      </c>
      <c r="J46" s="834"/>
      <c r="K46" s="898"/>
      <c r="L46" s="414"/>
      <c r="M46" s="817" t="s">
        <v>299</v>
      </c>
      <c r="N46" s="818"/>
      <c r="O46" s="818"/>
      <c r="P46" s="818"/>
      <c r="Q46" s="818"/>
      <c r="R46" s="818"/>
      <c r="S46" s="818"/>
      <c r="T46" s="818"/>
      <c r="U46" s="818"/>
      <c r="V46" s="818"/>
      <c r="W46" s="818"/>
      <c r="X46" s="819"/>
      <c r="Y46" s="243"/>
      <c r="Z46" s="243"/>
      <c r="AD46" s="94"/>
      <c r="AE46" s="94"/>
      <c r="BM46" s="1"/>
      <c r="CJ46" s="1"/>
      <c r="CU46" s="253"/>
      <c r="CV46" s="253"/>
      <c r="CY46"/>
      <c r="CZ46"/>
    </row>
    <row r="47" spans="1:118">
      <c r="A47" s="902" t="s">
        <v>492</v>
      </c>
      <c r="B47" s="903"/>
      <c r="C47" s="903"/>
      <c r="D47" s="903"/>
      <c r="E47" s="903"/>
      <c r="F47" s="903"/>
      <c r="G47" s="903"/>
      <c r="H47" s="904"/>
      <c r="I47" s="899">
        <f>(M70+M72+M80+M82+M76+M77+M81)*-1</f>
        <v>0</v>
      </c>
      <c r="J47" s="900"/>
      <c r="K47" s="901"/>
      <c r="L47" s="415"/>
      <c r="M47" s="820" t="s">
        <v>506</v>
      </c>
      <c r="N47" s="821"/>
      <c r="O47" s="821"/>
      <c r="P47" s="821"/>
      <c r="Q47" s="821"/>
      <c r="R47" s="821"/>
      <c r="S47" s="821"/>
      <c r="T47" s="821"/>
      <c r="U47" s="822"/>
      <c r="V47" s="823" t="s">
        <v>224</v>
      </c>
      <c r="W47" s="824"/>
      <c r="X47" s="825"/>
      <c r="Y47" s="243"/>
      <c r="Z47" s="243"/>
      <c r="AD47" s="94"/>
      <c r="AE47" s="94"/>
      <c r="BM47" s="1"/>
      <c r="CJ47" s="1"/>
      <c r="CU47" s="253"/>
      <c r="CV47" s="253"/>
      <c r="CY47"/>
      <c r="CZ47"/>
    </row>
    <row r="48" spans="1:118">
      <c r="A48" s="837" t="str">
        <f>"Arbejde særligt planlagt for "&amp;A7&amp;" måned efter fanen skemaoplysninger"</f>
        <v>Arbejde særligt planlagt for April måned efter fanen skemaoplysninger</v>
      </c>
      <c r="B48" s="838"/>
      <c r="C48" s="838"/>
      <c r="D48" s="838"/>
      <c r="E48" s="838"/>
      <c r="F48" s="838"/>
      <c r="G48" s="838"/>
      <c r="H48" s="839"/>
      <c r="I48" s="834">
        <f>Skemaoplysninger!S91</f>
        <v>0</v>
      </c>
      <c r="J48" s="835"/>
      <c r="K48" s="836"/>
      <c r="L48" s="245"/>
      <c r="M48" s="805"/>
      <c r="N48" s="806"/>
      <c r="O48" s="806"/>
      <c r="P48" s="806"/>
      <c r="Q48" s="806"/>
      <c r="R48" s="806"/>
      <c r="S48" s="806"/>
      <c r="T48" s="806"/>
      <c r="U48" s="807"/>
      <c r="V48" s="826"/>
      <c r="W48" s="826"/>
      <c r="X48" s="827"/>
      <c r="Y48"/>
      <c r="Z48" s="243"/>
      <c r="AA48" s="243"/>
      <c r="AG48" s="94"/>
      <c r="AH48" s="94"/>
      <c r="BA48" s="243"/>
      <c r="BO48" s="1"/>
      <c r="CL48" s="1"/>
      <c r="CV48" s="253"/>
      <c r="CW48" s="253"/>
      <c r="CY48"/>
      <c r="CZ48"/>
    </row>
    <row r="49" spans="1:110">
      <c r="A49" s="884" t="s">
        <v>296</v>
      </c>
      <c r="B49" s="885"/>
      <c r="C49" s="885"/>
      <c r="D49" s="885"/>
      <c r="E49" s="885"/>
      <c r="F49" s="885"/>
      <c r="G49" s="885"/>
      <c r="H49" s="885"/>
      <c r="I49" s="1027">
        <f>V39+X39-N67-N65-P65</f>
        <v>0</v>
      </c>
      <c r="J49" s="899"/>
      <c r="K49" s="1028"/>
      <c r="L49" s="245"/>
      <c r="M49" s="805"/>
      <c r="N49" s="806"/>
      <c r="O49" s="806"/>
      <c r="P49" s="806"/>
      <c r="Q49" s="806"/>
      <c r="R49" s="806"/>
      <c r="S49" s="806"/>
      <c r="T49" s="806"/>
      <c r="U49" s="807"/>
      <c r="V49" s="808"/>
      <c r="W49" s="809"/>
      <c r="X49" s="810"/>
      <c r="Y49"/>
      <c r="Z49" s="243"/>
      <c r="AA49" s="243"/>
      <c r="AE49" s="94"/>
      <c r="AG49" s="94"/>
      <c r="BN49" s="1"/>
      <c r="CK49" s="1"/>
      <c r="CV49" s="253"/>
      <c r="CW49" s="253"/>
      <c r="CY49"/>
      <c r="CZ49"/>
    </row>
    <row r="50" spans="1:110" ht="17" thickBot="1">
      <c r="A50" s="266" t="str">
        <f>"Faktisk arbejdstid ialt i "&amp;A7&amp;" måned"</f>
        <v>Faktisk arbejdstid ialt i April måned</v>
      </c>
      <c r="B50" s="330"/>
      <c r="C50" s="331"/>
      <c r="D50" s="331"/>
      <c r="E50" s="331"/>
      <c r="F50" s="331"/>
      <c r="G50" s="331"/>
      <c r="H50" s="332"/>
      <c r="I50" s="840">
        <f>I46+I49+I48+I47</f>
        <v>0</v>
      </c>
      <c r="J50" s="841"/>
      <c r="K50" s="842"/>
      <c r="L50" s="245"/>
      <c r="M50" s="805"/>
      <c r="N50" s="806"/>
      <c r="O50" s="806"/>
      <c r="P50" s="806"/>
      <c r="Q50" s="806"/>
      <c r="R50" s="806"/>
      <c r="S50" s="806"/>
      <c r="T50" s="806"/>
      <c r="U50" s="807"/>
      <c r="V50" s="808"/>
      <c r="W50" s="809"/>
      <c r="X50" s="810"/>
      <c r="Y50" s="243"/>
      <c r="Z50" s="243"/>
      <c r="AA50" s="218"/>
      <c r="AB50" s="252"/>
      <c r="AC50" s="252"/>
      <c r="AD50" s="252"/>
      <c r="AE50" s="243"/>
      <c r="AF50" s="252"/>
      <c r="AH50" s="243"/>
      <c r="AI50" s="243"/>
      <c r="AM50" s="94"/>
      <c r="AN50" s="94"/>
      <c r="BU50" s="1"/>
      <c r="CR50" s="1"/>
      <c r="CY50"/>
      <c r="CZ50"/>
      <c r="DC50" s="253"/>
      <c r="DD50" s="253"/>
    </row>
    <row r="51" spans="1:110" ht="17" thickBot="1">
      <c r="A51" s="260"/>
      <c r="B51" s="260"/>
      <c r="C51" s="260"/>
      <c r="D51" s="260"/>
      <c r="E51" s="260"/>
      <c r="F51" s="260"/>
      <c r="G51" s="260"/>
      <c r="H51" s="260"/>
      <c r="I51" s="577"/>
      <c r="J51" s="577"/>
      <c r="K51" s="577"/>
      <c r="L51" s="551"/>
      <c r="M51" s="805"/>
      <c r="N51" s="806"/>
      <c r="O51" s="806"/>
      <c r="P51" s="806"/>
      <c r="Q51" s="806"/>
      <c r="R51" s="806"/>
      <c r="S51" s="806"/>
      <c r="T51" s="806"/>
      <c r="U51" s="807"/>
      <c r="V51" s="808"/>
      <c r="W51" s="809"/>
      <c r="X51" s="810"/>
      <c r="Y51" s="243"/>
      <c r="Z51" s="243"/>
      <c r="AA51" s="243"/>
      <c r="AB51" s="243"/>
      <c r="AC51" s="218"/>
      <c r="AD51" s="252"/>
      <c r="AE51" s="252"/>
      <c r="AF51" s="252"/>
      <c r="AG51" s="252"/>
      <c r="AH51" s="243"/>
      <c r="AJ51" s="243"/>
      <c r="AK51" s="243"/>
      <c r="AO51" s="94"/>
      <c r="AP51" s="94"/>
      <c r="BW51" s="1"/>
      <c r="CT51" s="1"/>
      <c r="CY51"/>
      <c r="CZ51"/>
      <c r="DE51" s="253"/>
      <c r="DF51" s="253"/>
    </row>
    <row r="52" spans="1:110" ht="35" thickBot="1">
      <c r="A52" s="875" t="s">
        <v>527</v>
      </c>
      <c r="B52" s="876"/>
      <c r="C52" s="876"/>
      <c r="D52" s="876"/>
      <c r="E52" s="876"/>
      <c r="F52" s="876"/>
      <c r="G52" s="876"/>
      <c r="H52" s="670" t="s">
        <v>614</v>
      </c>
      <c r="I52" s="876" t="s">
        <v>526</v>
      </c>
      <c r="J52" s="876"/>
      <c r="K52" s="878"/>
      <c r="L52" s="551"/>
      <c r="M52" s="811" t="s">
        <v>300</v>
      </c>
      <c r="N52" s="812"/>
      <c r="O52" s="812"/>
      <c r="P52" s="812"/>
      <c r="Q52" s="812"/>
      <c r="R52" s="812"/>
      <c r="S52" s="812"/>
      <c r="T52" s="812"/>
      <c r="U52" s="813"/>
      <c r="V52" s="1006">
        <f>V45-SUM(V48:X51)</f>
        <v>0</v>
      </c>
      <c r="W52" s="1007"/>
      <c r="X52" s="1008"/>
      <c r="Y52" s="243"/>
      <c r="Z52" s="243"/>
      <c r="AA52" s="243"/>
      <c r="AB52" s="243"/>
      <c r="AC52" s="218"/>
      <c r="AD52" s="252"/>
      <c r="AE52" s="252"/>
      <c r="AF52" s="252"/>
      <c r="AG52" s="252"/>
      <c r="AH52" s="243"/>
      <c r="AJ52" s="243"/>
      <c r="AK52" s="243"/>
      <c r="AO52" s="94"/>
      <c r="AP52" s="94"/>
      <c r="BW52" s="1"/>
      <c r="CT52" s="1"/>
      <c r="CY52"/>
      <c r="CZ52"/>
      <c r="DE52" s="253"/>
      <c r="DF52" s="253"/>
    </row>
    <row r="53" spans="1:110" ht="16" customHeight="1">
      <c r="A53" s="905"/>
      <c r="B53" s="906"/>
      <c r="C53" s="906"/>
      <c r="D53" s="906"/>
      <c r="E53" s="906"/>
      <c r="F53" s="906"/>
      <c r="G53" s="906"/>
      <c r="H53" s="666">
        <f>Marts!H62</f>
        <v>0</v>
      </c>
      <c r="I53" s="978">
        <f>Marts!I62</f>
        <v>0</v>
      </c>
      <c r="J53" s="978"/>
      <c r="K53" s="979"/>
      <c r="L53" s="551"/>
      <c r="M53" s="578"/>
      <c r="N53" s="578"/>
      <c r="O53" s="578"/>
      <c r="P53" s="578"/>
      <c r="Q53" s="579"/>
      <c r="R53" s="580"/>
      <c r="S53" s="580"/>
      <c r="T53" s="580"/>
      <c r="U53" s="580"/>
      <c r="V53" s="578"/>
      <c r="W53" s="581"/>
      <c r="X53" s="578"/>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1013" t="s">
        <v>530</v>
      </c>
      <c r="B54" s="1014"/>
      <c r="C54" s="1014"/>
      <c r="D54" s="1014"/>
      <c r="E54" s="1014"/>
      <c r="F54" s="1014"/>
      <c r="G54" s="1015"/>
      <c r="H54" s="664"/>
      <c r="I54" s="1016"/>
      <c r="J54" s="1017"/>
      <c r="K54" s="1018"/>
      <c r="L54" s="551"/>
      <c r="M54" s="578"/>
      <c r="N54" s="578"/>
      <c r="O54" s="578"/>
      <c r="P54" s="578"/>
      <c r="Q54" s="579"/>
      <c r="R54" s="580"/>
      <c r="S54" s="580"/>
      <c r="T54" s="580"/>
      <c r="U54" s="580"/>
      <c r="V54" s="578"/>
      <c r="W54" s="581"/>
      <c r="X54" s="578"/>
      <c r="Y54" s="243"/>
      <c r="Z54" s="243"/>
      <c r="AA54" s="243"/>
      <c r="AB54" s="243"/>
      <c r="AC54" s="218"/>
      <c r="AD54" s="252"/>
      <c r="AE54" s="252"/>
      <c r="AF54" s="252"/>
      <c r="AG54" s="252"/>
      <c r="AH54" s="243"/>
      <c r="AJ54" s="243"/>
      <c r="AK54" s="243"/>
      <c r="AO54" s="94"/>
      <c r="AP54" s="94"/>
      <c r="BW54" s="1"/>
      <c r="CT54" s="1"/>
      <c r="CY54"/>
      <c r="CZ54"/>
      <c r="DE54" s="253"/>
      <c r="DF54" s="253"/>
    </row>
    <row r="55" spans="1:110" ht="37" customHeight="1">
      <c r="A55" s="802" t="s">
        <v>616</v>
      </c>
      <c r="B55" s="803"/>
      <c r="C55" s="803"/>
      <c r="D55" s="803"/>
      <c r="E55" s="803"/>
      <c r="F55" s="803"/>
      <c r="G55" s="803"/>
      <c r="H55" s="803"/>
      <c r="I55" s="803"/>
      <c r="J55" s="803"/>
      <c r="K55" s="804"/>
      <c r="L55" s="551"/>
      <c r="M55" s="578"/>
      <c r="N55" s="578"/>
      <c r="O55" s="578"/>
      <c r="P55" s="578"/>
      <c r="Q55" s="579"/>
      <c r="R55" s="580"/>
      <c r="S55" s="580"/>
      <c r="T55" s="580"/>
      <c r="U55" s="580"/>
      <c r="V55" s="578"/>
      <c r="W55" s="581"/>
      <c r="X55" s="578"/>
      <c r="Y55" s="243"/>
      <c r="Z55" s="243"/>
      <c r="AA55" s="243"/>
      <c r="AB55" s="243"/>
      <c r="AC55" s="218"/>
      <c r="AD55" s="252"/>
      <c r="AE55" s="252"/>
      <c r="AF55" s="252"/>
      <c r="AG55" s="252"/>
      <c r="AH55" s="243"/>
      <c r="AJ55" s="243"/>
      <c r="AK55" s="243"/>
      <c r="AO55" s="94"/>
      <c r="AP55" s="94"/>
      <c r="BW55" s="1"/>
      <c r="CT55" s="1"/>
      <c r="CY55"/>
      <c r="CZ55"/>
      <c r="DE55" s="253"/>
      <c r="DF55" s="253"/>
    </row>
    <row r="56" spans="1:110" ht="35" customHeight="1">
      <c r="A56" s="907" t="s">
        <v>615</v>
      </c>
      <c r="B56" s="908"/>
      <c r="C56" s="958" t="s">
        <v>566</v>
      </c>
      <c r="D56" s="959"/>
      <c r="E56" s="960" t="s">
        <v>567</v>
      </c>
      <c r="F56" s="803"/>
      <c r="G56" s="961"/>
      <c r="H56" s="970" t="s">
        <v>528</v>
      </c>
      <c r="I56" s="970"/>
      <c r="J56" s="970"/>
      <c r="K56" s="971"/>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0">
      <c r="A57" s="962"/>
      <c r="B57" s="963"/>
      <c r="C57" s="966"/>
      <c r="D57" s="965"/>
      <c r="E57" s="967"/>
      <c r="F57" s="968"/>
      <c r="G57" s="969"/>
      <c r="H57" s="665"/>
      <c r="I57" s="956"/>
      <c r="J57" s="956"/>
      <c r="K57" s="957"/>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0">
      <c r="A58" s="964"/>
      <c r="B58" s="965"/>
      <c r="C58" s="966"/>
      <c r="D58" s="965"/>
      <c r="E58" s="967"/>
      <c r="F58" s="968"/>
      <c r="G58" s="969"/>
      <c r="H58" s="665"/>
      <c r="I58" s="956"/>
      <c r="J58" s="956"/>
      <c r="K58" s="957"/>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0">
      <c r="A59" s="964"/>
      <c r="B59" s="965"/>
      <c r="C59" s="966"/>
      <c r="D59" s="965"/>
      <c r="E59" s="967"/>
      <c r="F59" s="968"/>
      <c r="G59" s="969"/>
      <c r="H59" s="665"/>
      <c r="I59" s="956"/>
      <c r="J59" s="956"/>
      <c r="K59" s="957"/>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0">
      <c r="A60" s="964"/>
      <c r="B60" s="965"/>
      <c r="C60" s="966"/>
      <c r="D60" s="965"/>
      <c r="E60" s="967"/>
      <c r="F60" s="968"/>
      <c r="G60" s="969"/>
      <c r="H60" s="665"/>
      <c r="I60" s="956"/>
      <c r="J60" s="956"/>
      <c r="K60" s="957"/>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0" ht="19" customHeight="1" thickBot="1">
      <c r="A61" s="953" t="s">
        <v>529</v>
      </c>
      <c r="B61" s="954"/>
      <c r="C61" s="955"/>
      <c r="D61" s="955"/>
      <c r="E61" s="955"/>
      <c r="F61" s="955"/>
      <c r="G61" s="955"/>
      <c r="H61" s="667">
        <f>H54+H53-SUM(H57:H60)</f>
        <v>0</v>
      </c>
      <c r="I61" s="950">
        <f>I53+I54-SUM(I57:K60)</f>
        <v>0</v>
      </c>
      <c r="J61" s="951"/>
      <c r="K61" s="952"/>
      <c r="L61" s="551"/>
      <c r="M61" s="578"/>
      <c r="N61" s="578"/>
      <c r="O61" s="578"/>
      <c r="P61" s="578"/>
      <c r="Q61" s="579"/>
      <c r="R61" s="580"/>
      <c r="S61" s="580"/>
      <c r="T61" s="580"/>
      <c r="U61" s="580"/>
      <c r="V61" s="578"/>
      <c r="W61" s="581"/>
      <c r="X61" s="578"/>
      <c r="Y61" s="243"/>
      <c r="Z61" s="243"/>
      <c r="AA61" s="243"/>
      <c r="AB61" s="243"/>
      <c r="AC61" s="218"/>
      <c r="AD61" s="252"/>
      <c r="AE61" s="252"/>
      <c r="AF61" s="252"/>
      <c r="AG61" s="252"/>
      <c r="AH61" s="243"/>
      <c r="AJ61" s="243"/>
      <c r="AK61" s="243"/>
      <c r="AO61" s="94"/>
      <c r="AP61" s="94"/>
      <c r="BW61" s="1"/>
      <c r="CT61" s="1"/>
      <c r="CY61"/>
      <c r="CZ61"/>
      <c r="DE61" s="253"/>
      <c r="DF61" s="253"/>
    </row>
    <row r="62" spans="1:110" ht="19" customHeight="1">
      <c r="A62" s="470"/>
      <c r="B62" s="470"/>
      <c r="C62" s="470"/>
      <c r="D62" s="470"/>
      <c r="E62" s="470"/>
      <c r="F62" s="470"/>
      <c r="G62" s="470"/>
      <c r="H62" s="482"/>
      <c r="I62" s="234"/>
      <c r="J62" s="234"/>
      <c r="K62" s="268" t="s">
        <v>297</v>
      </c>
      <c r="L62" s="245"/>
      <c r="M62" s="243"/>
      <c r="N62" s="243"/>
      <c r="O62" s="218"/>
      <c r="P62" s="252"/>
      <c r="Q62" s="252"/>
      <c r="R62" s="252"/>
      <c r="S62" s="243"/>
      <c r="T62" s="252"/>
      <c r="V62" s="243"/>
      <c r="W62" s="243"/>
      <c r="Y62"/>
      <c r="Z62"/>
      <c r="AA62" s="94"/>
      <c r="AB62" s="94"/>
      <c r="BI62" s="1"/>
      <c r="CF62" s="1"/>
      <c r="CQ62" s="253"/>
      <c r="CR62" s="253"/>
      <c r="CY62"/>
      <c r="CZ62"/>
    </row>
    <row r="63" spans="1:110" ht="19" hidden="1" customHeight="1">
      <c r="A63" s="127" t="s">
        <v>209</v>
      </c>
      <c r="B63" s="127"/>
      <c r="C63" s="127"/>
      <c r="D63" s="127">
        <f>COUNTIF([0]!April,"Skema 1")</f>
        <v>21</v>
      </c>
      <c r="E63" s="422"/>
      <c r="F63" s="127" t="s">
        <v>189</v>
      </c>
      <c r="G63" s="127">
        <f>COUNTIFS($B$9:$B$38,"ma",[0]!April,"Skema 1")</f>
        <v>4</v>
      </c>
      <c r="H63" s="127"/>
      <c r="I63" s="127"/>
      <c r="J63" s="353"/>
      <c r="K63" s="354"/>
      <c r="L63" s="354"/>
      <c r="M63" s="243"/>
      <c r="N63" s="243"/>
      <c r="O63" s="218"/>
      <c r="P63" s="252"/>
      <c r="Q63" s="252"/>
      <c r="R63" s="252"/>
      <c r="S63" s="243"/>
      <c r="T63" s="252"/>
      <c r="V63" s="243"/>
      <c r="W63" s="243"/>
      <c r="Y63"/>
      <c r="Z63"/>
      <c r="AA63" s="94"/>
      <c r="AB63" s="94"/>
      <c r="BI63" s="1"/>
      <c r="CF63" s="1"/>
      <c r="CQ63" s="253"/>
      <c r="CR63" s="253"/>
      <c r="CY63"/>
      <c r="CZ63"/>
    </row>
    <row r="64" spans="1:110" ht="19" hidden="1" customHeight="1">
      <c r="A64" s="972" t="s">
        <v>210</v>
      </c>
      <c r="B64" s="972"/>
      <c r="C64" s="972"/>
      <c r="D64" s="547">
        <f>COUNTIF([0]!April,"Skema 2")</f>
        <v>0</v>
      </c>
      <c r="E64" s="549"/>
      <c r="F64" s="547" t="s">
        <v>190</v>
      </c>
      <c r="G64" s="547">
        <f>COUNTIFS($B$9:$B$38,"ti",[0]!April,"Skema 1")</f>
        <v>5</v>
      </c>
      <c r="H64" s="547"/>
      <c r="I64" s="547"/>
      <c r="J64" s="353"/>
      <c r="K64" s="354"/>
      <c r="L64" s="354"/>
      <c r="M64" s="243"/>
      <c r="N64" s="243"/>
      <c r="O64" s="218"/>
      <c r="P64" s="252"/>
      <c r="Q64" s="252"/>
      <c r="R64" s="252"/>
      <c r="S64" s="243"/>
      <c r="T64" s="252"/>
      <c r="V64" s="243"/>
      <c r="W64" s="243"/>
      <c r="Y64"/>
      <c r="Z64"/>
      <c r="AA64" s="94"/>
      <c r="AB64" s="94"/>
      <c r="BI64" s="1"/>
      <c r="CF64" s="1"/>
      <c r="CQ64" s="253"/>
      <c r="CR64" s="253"/>
      <c r="CY64"/>
      <c r="CZ64"/>
    </row>
    <row r="65" spans="1:109" ht="19" hidden="1" customHeight="1">
      <c r="A65" s="972" t="s">
        <v>211</v>
      </c>
      <c r="B65" s="972"/>
      <c r="C65" s="972"/>
      <c r="D65" s="547">
        <f>COUNTIF([0]!April,"Skema 3")</f>
        <v>0</v>
      </c>
      <c r="E65" s="549"/>
      <c r="F65" s="547" t="s">
        <v>191</v>
      </c>
      <c r="G65" s="547">
        <f>COUNTIFS($B$9:$B$38,"on",[0]!April,"Skema 1")</f>
        <v>4</v>
      </c>
      <c r="H65" s="547"/>
      <c r="I65" s="547"/>
      <c r="J65" s="353"/>
      <c r="K65" s="354"/>
      <c r="L65" s="477"/>
      <c r="M65" s="243"/>
      <c r="N65" s="550">
        <f>IF($C$9="Ikke relevant",V9,0)+IF($C$10="Ikke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relevant",V37,0)+IF($C$38="Ikke relevant",V38,0)</f>
        <v>0</v>
      </c>
      <c r="O65" s="550">
        <f t="shared" ref="O65" si="32">IF($C$9="Ikke relevant",W9,0)+IF($C$10="Ikke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relevant",W37,0)+IF($C$38="Ikke relevant",W38,0)</f>
        <v>0</v>
      </c>
      <c r="P65" s="550">
        <f>IF($C$9="Ikke relevant",X9,0)+IF($C$10="Ikke relevant",X10,0)+IF($C$11="Ikke relevant",X11,0)+IF($C$12="Ikke relevant",X12,0)+IF($C$13="Ikke relevant",X13,0)+IF($C$14="Ikke relevant",X14,0)+IF($C$15="Ikke relevant",X15,0)+IF($C$16="Ikke relevant",X16,0)+IF($C$17="Ikke relevant",X17,0)+IF($C$18="Ikke relevant",X18,0)+IF($C$19="Ikke relevant",X19,0)+IF($C$20="Ikke relevant",X20,0)+IF($C$21="Ikke relevant",X21,0)+IF($C$22="Ikke relevant",X22,0)+IF($C$23="Ikke relevant",X23,0)+IF($C$24="Ikke relevant",X24,0)+IF($C$25="Ikke relevant",X25,0)+IF($C$26="Ikke relevant",X26,0)+IF($C$27="Ikke relevant",X27,0)+IF($C$28="Ikke relevant",X28,0)+IF($C$29="Ikke relevant",X29,0)+IF($C$30="Ikke relevant",X30,0)+IF($C$31="Ikke relevant",X31,0)+IF($C$32="Ikke relevant",X32,0)+IF($C$33="Ikke relevant",X33,0)+IF($C$34="Ikke relevant",X34,0)+IF($C$35="Ikke relevant",X35,0)+IF($C$36="Ikke relevant",X36,0)+IF($C$37="Ikke relevant",X37,0)+IF($C$38="Ikke relevant",X38,0)</f>
        <v>0</v>
      </c>
      <c r="Q65" s="579" t="s">
        <v>622</v>
      </c>
      <c r="R65" s="252"/>
      <c r="S65" s="243"/>
      <c r="T65" s="252"/>
      <c r="V65" s="243"/>
      <c r="W65" s="243"/>
      <c r="Y65"/>
      <c r="Z65"/>
      <c r="AA65" s="94"/>
      <c r="AB65" s="94"/>
      <c r="BI65" s="1"/>
      <c r="CF65" s="1"/>
      <c r="CQ65" s="253"/>
      <c r="CR65" s="253"/>
      <c r="CY65"/>
      <c r="CZ65"/>
    </row>
    <row r="66" spans="1:109" ht="19" hidden="1" customHeight="1">
      <c r="A66" s="972" t="s">
        <v>212</v>
      </c>
      <c r="B66" s="972"/>
      <c r="C66" s="972"/>
      <c r="D66" s="547">
        <f>COUNTIF([0]!April,"Skema 4")</f>
        <v>0</v>
      </c>
      <c r="E66" s="549"/>
      <c r="F66" s="547" t="s">
        <v>193</v>
      </c>
      <c r="G66" s="547">
        <f>COUNTIFS($B$9:$B$38,"to",[0]!April,"Skema 1")</f>
        <v>4</v>
      </c>
      <c r="H66" s="547"/>
      <c r="I66" s="547" t="s">
        <v>496</v>
      </c>
      <c r="J66" s="532">
        <f>IF(C9="Ikke relevant",R9,0)+IF(C10="Ikke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f>
        <v>0</v>
      </c>
      <c r="K66" s="477"/>
      <c r="L66" s="477"/>
      <c r="M66" s="470" t="s">
        <v>327</v>
      </c>
      <c r="N66" s="470" t="s">
        <v>423</v>
      </c>
      <c r="O66" s="260"/>
      <c r="P66" s="260"/>
      <c r="Q66" s="260"/>
      <c r="R66" s="260"/>
      <c r="S66" s="260"/>
      <c r="T66" s="260"/>
      <c r="U66" s="260"/>
      <c r="V66" s="260"/>
      <c r="W66" s="260"/>
      <c r="X66" s="260"/>
      <c r="Y66" s="243"/>
      <c r="Z66" s="243"/>
      <c r="AA66" s="243"/>
      <c r="AB66" s="218"/>
      <c r="AC66" s="252"/>
      <c r="AD66" s="252"/>
      <c r="AE66" s="252"/>
      <c r="AF66" s="252"/>
      <c r="AG66" s="243"/>
      <c r="AI66" s="243"/>
      <c r="AJ66" s="243"/>
      <c r="AN66" s="94"/>
      <c r="AO66" s="94"/>
      <c r="BV66" s="1"/>
      <c r="CS66" s="1"/>
      <c r="CY66"/>
      <c r="CZ66"/>
      <c r="DD66" s="253"/>
      <c r="DE66" s="253"/>
    </row>
    <row r="67" spans="1:109" ht="19" hidden="1" customHeight="1">
      <c r="A67" s="547" t="s">
        <v>113</v>
      </c>
      <c r="B67" s="547"/>
      <c r="C67" s="547"/>
      <c r="D67" s="547">
        <f>COUNTIF([0]!April,"Fagdag")+COUNTIF([0]!April,"emnedag")</f>
        <v>0</v>
      </c>
      <c r="E67" s="549"/>
      <c r="F67" s="547" t="s">
        <v>192</v>
      </c>
      <c r="G67" s="547">
        <f>COUNTIFS($B$9:$B$38,"fr",[0]!April,"Skema 1")</f>
        <v>4</v>
      </c>
      <c r="H67" s="547"/>
      <c r="I67" s="552" t="s">
        <v>329</v>
      </c>
      <c r="J67" s="353"/>
      <c r="K67" s="477"/>
      <c r="L67" s="477"/>
      <c r="M67" s="463">
        <f>IF($I$9="X",$K$9,0)+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f>
        <v>0</v>
      </c>
      <c r="N67" s="463">
        <f>IF(AND($I$9="X",$S$9="x"),$V$9,0)+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f>
        <v>0</v>
      </c>
      <c r="O67" s="463"/>
      <c r="P67" s="354"/>
      <c r="Q67" s="465" t="s">
        <v>331</v>
      </c>
      <c r="R67" s="234"/>
      <c r="S67" s="234"/>
      <c r="T67" s="234" t="s">
        <v>332</v>
      </c>
      <c r="U67" s="234"/>
      <c r="V67" s="234"/>
      <c r="W67" s="122"/>
      <c r="X67" s="122"/>
      <c r="Y67" s="243"/>
      <c r="Z67" s="243"/>
      <c r="AA67" s="243"/>
      <c r="AB67" s="218"/>
      <c r="AC67" s="252"/>
      <c r="AD67" s="252"/>
      <c r="AE67" s="252"/>
      <c r="AF67" s="218"/>
      <c r="AG67" s="243"/>
      <c r="AI67" s="243"/>
      <c r="AJ67" s="243"/>
      <c r="AN67" s="94"/>
      <c r="AO67" s="94"/>
      <c r="BV67" s="1"/>
      <c r="CS67" s="1"/>
      <c r="CY67"/>
      <c r="CZ67"/>
      <c r="DD67" s="253"/>
      <c r="DE67" s="253"/>
    </row>
    <row r="68" spans="1:109" ht="19" hidden="1" customHeight="1">
      <c r="A68" s="553" t="s">
        <v>112</v>
      </c>
      <c r="B68" s="547"/>
      <c r="C68" s="547"/>
      <c r="D68" s="547">
        <f>COUNTIF([0]!April,"Lejrskole")+COUNTIF([0]!April,"Ekskursion")</f>
        <v>0</v>
      </c>
      <c r="E68" s="549"/>
      <c r="F68" s="547"/>
      <c r="G68" s="547"/>
      <c r="H68" s="547"/>
      <c r="I68" s="552" t="s">
        <v>343</v>
      </c>
      <c r="J68" s="353"/>
      <c r="K68" s="477"/>
      <c r="L68" s="477"/>
      <c r="M68" s="463">
        <f>IF(AND($I$9="X",$J$9="X"),($K$9*-1),0)+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f>
        <v>0</v>
      </c>
      <c r="N68" s="463">
        <f>IF(AND($I$9="X",$J$9="X"),$V$9*-1,0)+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f>
        <v>0</v>
      </c>
      <c r="O68" s="464">
        <v>0.5</v>
      </c>
      <c r="P68" s="354"/>
      <c r="Q68" s="465" t="s">
        <v>328</v>
      </c>
      <c r="R68" s="234"/>
      <c r="S68" s="234"/>
      <c r="T68" s="234"/>
      <c r="U68" s="234"/>
      <c r="V68" s="234"/>
      <c r="W68" s="122"/>
      <c r="X68" s="122"/>
      <c r="Y68" s="243"/>
      <c r="Z68" s="243"/>
      <c r="AA68" s="243"/>
      <c r="AB68" s="218"/>
      <c r="AC68" s="252"/>
      <c r="AD68" s="252"/>
      <c r="AE68" s="252"/>
      <c r="AF68" s="218"/>
      <c r="AG68" s="243"/>
      <c r="AI68" s="243"/>
      <c r="AJ68" s="243"/>
      <c r="AN68" s="94"/>
      <c r="AO68" s="94"/>
      <c r="BV68" s="1"/>
      <c r="CS68" s="1"/>
      <c r="CY68"/>
      <c r="CZ68"/>
      <c r="DD68" s="253"/>
      <c r="DE68" s="253"/>
    </row>
    <row r="69" spans="1:109" ht="19" hidden="1" customHeight="1">
      <c r="A69" s="547" t="s">
        <v>111</v>
      </c>
      <c r="B69" s="547"/>
      <c r="C69" s="547"/>
      <c r="D69" s="547">
        <f>COUNTIF([0]!April,"Pæd.dag")</f>
        <v>0</v>
      </c>
      <c r="E69" s="549"/>
      <c r="F69" s="547" t="s">
        <v>194</v>
      </c>
      <c r="G69" s="547">
        <f>COUNTIFS($B$9:$B$38,"ma",[0]!April,"Skema 2")</f>
        <v>0</v>
      </c>
      <c r="H69" s="547"/>
      <c r="I69" s="547" t="s">
        <v>342</v>
      </c>
      <c r="J69" s="353"/>
      <c r="K69" s="477"/>
      <c r="L69" s="477"/>
      <c r="M69" s="463">
        <f>SUM(M67:M68)</f>
        <v>0</v>
      </c>
      <c r="N69" s="463">
        <f>SUM(N67:N68)</f>
        <v>0</v>
      </c>
      <c r="O69" s="463">
        <f>(M69+N69)/2</f>
        <v>0</v>
      </c>
      <c r="P69" s="354">
        <f>SUM(M69:O69)</f>
        <v>0</v>
      </c>
      <c r="Q69" s="465">
        <f>(M69+N69)*25%</f>
        <v>0</v>
      </c>
      <c r="R69" s="234"/>
      <c r="S69" s="234"/>
      <c r="T69" s="234"/>
      <c r="U69" s="234"/>
      <c r="V69" s="234"/>
      <c r="W69" s="122"/>
      <c r="X69" s="122"/>
      <c r="Y69" s="243"/>
      <c r="Z69" s="243"/>
      <c r="AA69" s="243"/>
      <c r="AB69" s="218"/>
      <c r="AC69" s="252"/>
      <c r="AD69" s="252"/>
      <c r="AE69" s="252"/>
      <c r="AF69" s="218"/>
      <c r="AG69" s="243"/>
      <c r="AI69" s="243"/>
      <c r="AJ69" s="243"/>
      <c r="AN69" s="94"/>
      <c r="AO69" s="94"/>
      <c r="BV69" s="1"/>
      <c r="CS69" s="1"/>
      <c r="CY69"/>
      <c r="CZ69"/>
      <c r="DD69" s="253"/>
      <c r="DE69" s="253"/>
    </row>
    <row r="70" spans="1:109" ht="19" hidden="1" customHeight="1">
      <c r="A70" s="547" t="s">
        <v>121</v>
      </c>
      <c r="B70" s="547"/>
      <c r="C70" s="547"/>
      <c r="D70" s="547">
        <f>COUNTIF([0]!April,"Weekend")</f>
        <v>8</v>
      </c>
      <c r="E70" s="549"/>
      <c r="F70" s="547" t="s">
        <v>195</v>
      </c>
      <c r="G70" s="547">
        <f>COUNTIFS($B$9:$B$38,"ti",[0]!April,"Skema 2")</f>
        <v>0</v>
      </c>
      <c r="H70" s="547"/>
      <c r="I70" s="547" t="s">
        <v>482</v>
      </c>
      <c r="J70" s="511"/>
      <c r="K70" s="512"/>
      <c r="L70" s="512"/>
      <c r="M70" s="513">
        <f>IF(Stamoplysninger!$B$26="Weekendtimer og weekendtillæg afspadseres.",M67,0)</f>
        <v>0</v>
      </c>
      <c r="N70" s="513">
        <f>IF(Stamoplysninger!$B$26="Weekendtimer og weekendtillæg afspadseres.",N67,0)</f>
        <v>0</v>
      </c>
      <c r="O70" s="463"/>
      <c r="P70" s="354"/>
      <c r="Q70" s="465" t="s">
        <v>333</v>
      </c>
      <c r="R70" s="234"/>
      <c r="S70" s="234">
        <f>IF(Stamoplysninger!B22="Ulempetillæg afspadseres med 25%(Kræver en aftale imellem ledelsen og den ansatte)",Q69,0)</f>
        <v>0</v>
      </c>
      <c r="T70" s="234">
        <f>IF(Stamoplysninger!B22="Ulempetillæg afspadseres med 25%(Kræver en aftale imellem ledelsen og den ansatte)",(R39+X39)*0.25,0)</f>
        <v>0</v>
      </c>
      <c r="U70" s="234"/>
      <c r="V70" s="234"/>
      <c r="W70" s="122"/>
      <c r="X70" s="122"/>
      <c r="Y70"/>
      <c r="Z70"/>
      <c r="AM70" s="1"/>
      <c r="BJ70" s="1"/>
      <c r="BU70" s="253"/>
      <c r="BV70" s="253"/>
      <c r="CY70"/>
      <c r="CZ70"/>
    </row>
    <row r="71" spans="1:109" ht="19" hidden="1" customHeight="1">
      <c r="A71" s="547" t="s">
        <v>128</v>
      </c>
      <c r="B71" s="547"/>
      <c r="C71" s="547"/>
      <c r="D71" s="547">
        <f>COUNTIF([0]!April,"SH-dag")</f>
        <v>1</v>
      </c>
      <c r="E71" s="549"/>
      <c r="F71" s="547" t="s">
        <v>196</v>
      </c>
      <c r="G71" s="547">
        <f>COUNTIFS($B$9:$B$38,"on",[0]!April,"Skema 2")</f>
        <v>0</v>
      </c>
      <c r="H71" s="547"/>
      <c r="I71" s="554" t="s">
        <v>483</v>
      </c>
      <c r="J71" s="519"/>
      <c r="K71" s="519"/>
      <c r="L71" s="519"/>
      <c r="M71" s="513">
        <f>IF(Stamoplysninger!$B$26="Weekendtimer og weekendtillæg afspadseres.",O69,0)</f>
        <v>0</v>
      </c>
      <c r="N71" s="513">
        <f>IF(Stamoplysninger!$B$26="Weekendtimer og weekendtillæg afspadseres.",O69,0)</f>
        <v>0</v>
      </c>
      <c r="O71" s="463"/>
      <c r="P71" s="354"/>
      <c r="Q71" s="465" t="s">
        <v>330</v>
      </c>
      <c r="R71" s="234"/>
      <c r="S71" s="234">
        <f>IF(Stamoplysninger!B22="Ulempetillæg udbetales med 25% af nettotimelønnen.",Q69,0)</f>
        <v>0</v>
      </c>
      <c r="T71" s="234">
        <f>IF(Stamoplysninger!B22="Ulempetillæg udbetales med 25% af nettotimelønnen.",(R39+X39)*0.25,0)</f>
        <v>0</v>
      </c>
      <c r="U71" s="234"/>
      <c r="V71" s="234"/>
      <c r="W71" s="122"/>
      <c r="X71" s="122"/>
      <c r="Y71"/>
      <c r="Z71"/>
      <c r="AM71" s="1"/>
      <c r="BJ71" s="1"/>
      <c r="BU71" s="253"/>
      <c r="BV71" s="253"/>
      <c r="CY71"/>
      <c r="CZ71"/>
    </row>
    <row r="72" spans="1:109" ht="19" hidden="1" customHeight="1">
      <c r="A72" s="547" t="s">
        <v>110</v>
      </c>
      <c r="B72" s="547"/>
      <c r="C72" s="547"/>
      <c r="D72" s="547">
        <f>COUNTIF([0]!April,"Feriedag")</f>
        <v>0</v>
      </c>
      <c r="E72" s="549"/>
      <c r="F72" s="547" t="s">
        <v>197</v>
      </c>
      <c r="G72" s="547">
        <f>COUNTIFS($B$9:$B$38,"to",[0]!April,"Skema 2")</f>
        <v>0</v>
      </c>
      <c r="H72" s="547"/>
      <c r="I72" s="554" t="s">
        <v>484</v>
      </c>
      <c r="J72" s="520"/>
      <c r="K72" s="520"/>
      <c r="L72" s="520"/>
      <c r="M72" s="514">
        <f>IF(Stamoplysninger!$B$26="Weekendtimer og weekendtillæg udbetales.",M67,0)</f>
        <v>0</v>
      </c>
      <c r="N72" s="514">
        <f>IF(Stamoplysninger!$B$26="Weekendtimer og weekendtillæg udbetales.",N67,0)</f>
        <v>0</v>
      </c>
      <c r="O72" s="463"/>
      <c r="P72" s="354"/>
      <c r="Q72" s="465"/>
      <c r="R72" s="234"/>
      <c r="S72" s="234"/>
      <c r="T72" s="234"/>
      <c r="U72" s="234"/>
      <c r="V72" s="234"/>
      <c r="W72" s="122"/>
      <c r="X72" s="122"/>
      <c r="Y72"/>
      <c r="Z72"/>
      <c r="AM72" s="1"/>
      <c r="BJ72" s="1"/>
      <c r="BU72" s="253"/>
      <c r="BV72" s="253"/>
      <c r="CY72"/>
      <c r="CZ72"/>
    </row>
    <row r="73" spans="1:109" ht="19" hidden="1" customHeight="1">
      <c r="A73" s="547" t="s">
        <v>181</v>
      </c>
      <c r="B73" s="547"/>
      <c r="C73" s="547"/>
      <c r="D73" s="547">
        <f>COUNTIF([0]!April,"Nul-dag")</f>
        <v>0</v>
      </c>
      <c r="E73" s="549"/>
      <c r="F73" s="547" t="s">
        <v>198</v>
      </c>
      <c r="G73" s="547">
        <f>COUNTIFS($B$9:$B$38,"fr",[0]!April,"Skema 2")</f>
        <v>0</v>
      </c>
      <c r="H73" s="547"/>
      <c r="I73" s="554" t="s">
        <v>485</v>
      </c>
      <c r="J73" s="520"/>
      <c r="K73" s="520"/>
      <c r="L73" s="520"/>
      <c r="M73" s="514">
        <f>IF(Stamoplysninger!$B$26="Weekendtimer og weekendtillæg udbetales.",O69,0)</f>
        <v>0</v>
      </c>
      <c r="N73" s="514">
        <f>IF(Stamoplysninger!$B$26="Weekendtimer og weekendtillæg udbetales.",O69,0)</f>
        <v>0</v>
      </c>
      <c r="O73" s="463"/>
      <c r="P73" s="354"/>
      <c r="Q73" s="465"/>
      <c r="R73" s="234"/>
      <c r="S73" s="234"/>
      <c r="T73" s="234"/>
      <c r="U73" s="234"/>
      <c r="V73" s="234"/>
      <c r="W73" s="122"/>
      <c r="X73" s="122"/>
      <c r="Y73"/>
      <c r="Z73"/>
      <c r="AM73" s="1"/>
      <c r="BJ73" s="1"/>
      <c r="BU73" s="253"/>
      <c r="BV73" s="253"/>
      <c r="CY73"/>
      <c r="CZ73"/>
    </row>
    <row r="74" spans="1:109" ht="19" hidden="1" customHeight="1">
      <c r="A74" s="555" t="s">
        <v>444</v>
      </c>
      <c r="B74" s="547"/>
      <c r="C74" s="547"/>
      <c r="D74" s="547">
        <f>COUNTIF([0]!April,"Orlov")</f>
        <v>0</v>
      </c>
      <c r="E74" s="549"/>
      <c r="F74" s="556"/>
      <c r="G74" s="556"/>
      <c r="H74" s="556"/>
      <c r="I74" s="554" t="s">
        <v>334</v>
      </c>
      <c r="J74" s="516"/>
      <c r="K74" s="516"/>
      <c r="L74" s="516"/>
      <c r="M74" s="515">
        <f>IF(Stamoplysninger!$B$26="Der er indgået lokalaftale omkring weekendtimer.(Kræver aftale med TR/FSL) Weekendtillæg afspadseres.",O69,0)</f>
        <v>0</v>
      </c>
      <c r="N74" s="515">
        <f>IF(Stamoplysninger!$B$26="Der er indgået lokalaftale omkring weekendtimer.(Kræver aftale med TR/FSL) Weekendtillæg afspadseres.",N67,0)</f>
        <v>0</v>
      </c>
      <c r="O74" s="463"/>
      <c r="P74" s="354"/>
      <c r="Q74" s="465"/>
      <c r="R74" s="234"/>
      <c r="S74" s="234"/>
      <c r="T74" s="234"/>
      <c r="U74" s="234"/>
      <c r="V74" s="234"/>
      <c r="W74" s="122"/>
      <c r="X74" s="122"/>
      <c r="Y74"/>
      <c r="Z74"/>
      <c r="AM74" s="1"/>
      <c r="BJ74" s="1"/>
      <c r="BU74" s="253"/>
      <c r="BV74" s="253"/>
      <c r="CY74"/>
      <c r="CZ74"/>
    </row>
    <row r="75" spans="1:109" ht="19" hidden="1" customHeight="1">
      <c r="A75" s="547" t="s">
        <v>161</v>
      </c>
      <c r="B75" s="547"/>
      <c r="C75" s="547"/>
      <c r="D75" s="547">
        <f>COUNTIF([0]!April,"Ikke relevant")</f>
        <v>0</v>
      </c>
      <c r="E75" s="549"/>
      <c r="F75" s="547" t="s">
        <v>199</v>
      </c>
      <c r="G75" s="547">
        <f>COUNTIFS($B$9:$B$38,"ma",[0]!April,"Skema 3")</f>
        <v>0</v>
      </c>
      <c r="H75" s="547">
        <v>1</v>
      </c>
      <c r="I75" s="554" t="s">
        <v>335</v>
      </c>
      <c r="J75" s="516"/>
      <c r="K75" s="516"/>
      <c r="L75" s="516"/>
      <c r="M75" s="515">
        <f>IF(Stamoplysninger!$B$26="Der er indgået lokalaftale omkring weekendtimer(Kræver aftale med TR/FSL). Weekendtillæg udbetales.",O69,0)</f>
        <v>0</v>
      </c>
      <c r="N75" s="515">
        <f>IF(Stamoplysninger!$B$26="Der er indgået lokalaftale omkring weekendtimer(Kræver aftale med TR/FSL). Weekendtillæg udbetales.",N67,0)</f>
        <v>0</v>
      </c>
      <c r="O75" s="463"/>
      <c r="P75" s="354"/>
      <c r="Q75" s="465"/>
      <c r="R75" s="234"/>
      <c r="S75" s="234"/>
      <c r="T75" s="234"/>
      <c r="U75" s="234"/>
      <c r="V75" s="234"/>
      <c r="W75" s="122"/>
      <c r="X75" s="122"/>
      <c r="Y75" s="417">
        <f>IF(Stamoplysninger!B26="Der er indgået lokalaftale omkring weekendtillæg. Weekendtimerne udbetales.",April!#REF!,0)</f>
        <v>0</v>
      </c>
      <c r="Z75" s="417"/>
      <c r="AA75" s="417"/>
      <c r="AB75" s="418"/>
      <c r="AC75" s="127"/>
      <c r="AD75" s="127"/>
      <c r="AE75" s="234"/>
      <c r="AG75" s="234"/>
      <c r="AH75" s="234"/>
      <c r="AI75" s="234"/>
      <c r="AJ75" s="122"/>
      <c r="AK75" s="122"/>
      <c r="BA75" s="1"/>
      <c r="BX75" s="1"/>
      <c r="CI75" s="253"/>
      <c r="CJ75" s="253"/>
      <c r="CY75"/>
      <c r="CZ75"/>
    </row>
    <row r="76" spans="1:109" ht="19" hidden="1" customHeight="1">
      <c r="A76" s="547" t="s">
        <v>109</v>
      </c>
      <c r="B76" s="547"/>
      <c r="C76" s="547"/>
      <c r="D76" s="547">
        <f>SUM(D63:D75)</f>
        <v>30</v>
      </c>
      <c r="E76" s="547"/>
      <c r="F76" s="547" t="s">
        <v>200</v>
      </c>
      <c r="G76" s="547">
        <f>COUNTIFS($B$9:$B$38,"ti",[0]!April,"Skema 3")</f>
        <v>0</v>
      </c>
      <c r="H76" s="547">
        <v>2</v>
      </c>
      <c r="I76" s="554" t="s">
        <v>487</v>
      </c>
      <c r="J76" s="516"/>
      <c r="K76" s="516"/>
      <c r="L76" s="516"/>
      <c r="M76" s="515">
        <f>IF(Stamoplysninger!$B$26="Der er indgået lokalaftale omkring weekendtimer.(Kræver aftale med TR/FSL) Weekendtillæg afspadseres.",M67,0)</f>
        <v>0</v>
      </c>
      <c r="N76" s="515">
        <f>IF(Stamoplysninger!$B$26="Der er indgået lokalaftale omkring weekendtimer.(Kræver aftale med TR/FSL) Weekendtillæg afspadseres.",O69,0)</f>
        <v>0</v>
      </c>
      <c r="O76" s="44"/>
      <c r="P76" s="44"/>
      <c r="Q76" s="44"/>
      <c r="R76" s="44"/>
      <c r="S76" s="44"/>
      <c r="T76" s="44"/>
      <c r="V76" s="116"/>
      <c r="Y76"/>
      <c r="Z76"/>
      <c r="AO76" s="1"/>
      <c r="BL76" s="1"/>
      <c r="BW76" s="253"/>
      <c r="BX76" s="253"/>
      <c r="CY76"/>
      <c r="CZ76"/>
    </row>
    <row r="77" spans="1:109" ht="19" hidden="1" customHeight="1">
      <c r="A77" s="547" t="s">
        <v>242</v>
      </c>
      <c r="B77" s="547"/>
      <c r="C77" s="547"/>
      <c r="D77" s="547">
        <f>D76-D70-A86-D75</f>
        <v>22</v>
      </c>
      <c r="E77" s="557"/>
      <c r="F77" s="547" t="s">
        <v>201</v>
      </c>
      <c r="G77" s="547">
        <f>COUNTIFS($B$9:$B$38,"on",[0]!April,"Skema 3")</f>
        <v>0</v>
      </c>
      <c r="H77" s="547"/>
      <c r="I77" s="554" t="s">
        <v>488</v>
      </c>
      <c r="J77" s="516"/>
      <c r="K77" s="516"/>
      <c r="L77" s="516"/>
      <c r="M77" s="515">
        <f>IF(Stamoplysninger!$B$26="Der er indgået lokalaftale omkring weekendtimer(Kræver aftale med TR/FSL). Weekendtillæg udbetales.",M67,0)</f>
        <v>0</v>
      </c>
      <c r="N77" s="515">
        <f>IF(Stamoplysninger!$B$26="Der er indgået lokalaftale omkring weekendtimer(Kræver aftale med TR/FSL). Weekendtillæg udbetales.",O69,0)</f>
        <v>0</v>
      </c>
      <c r="Y77"/>
      <c r="Z77"/>
      <c r="AO77" s="1"/>
      <c r="BL77" s="1"/>
      <c r="BW77" s="253"/>
      <c r="BX77" s="253"/>
      <c r="CY77"/>
      <c r="CZ77"/>
    </row>
    <row r="78" spans="1:109" ht="19" hidden="1" customHeight="1">
      <c r="A78" s="547"/>
      <c r="B78" s="547"/>
      <c r="C78" s="547"/>
      <c r="D78" s="547"/>
      <c r="E78" s="547"/>
      <c r="F78" s="547" t="s">
        <v>202</v>
      </c>
      <c r="G78" s="547">
        <f>COUNTIFS($B$9:$B$38,"to",[0]!April,"Skema 3")</f>
        <v>0</v>
      </c>
      <c r="H78" s="547"/>
      <c r="I78" s="554" t="s">
        <v>336</v>
      </c>
      <c r="J78" s="518"/>
      <c r="K78" s="518"/>
      <c r="L78" s="518"/>
      <c r="M78" s="517">
        <f>IF(Stamoplysninger!$B$26="Der er indgået lokalaftale omkring weekendtillæg(Kræver aftale med TR/FSL). Weekendtimerne afspadseres.",M67,0)</f>
        <v>0</v>
      </c>
      <c r="N78" s="517">
        <f>IF(Stamoplysninger!$B$26="Der er indgået lokalaftale omkring weekendtillæg(Kræver aftale med TR/FSL). Weekendtimerne afspadseres.",N67,0)</f>
        <v>0</v>
      </c>
      <c r="Y78"/>
      <c r="Z78"/>
      <c r="AO78" s="1"/>
      <c r="BL78" s="1"/>
      <c r="BW78" s="253"/>
      <c r="BX78" s="253"/>
      <c r="CY78"/>
      <c r="CZ78"/>
    </row>
    <row r="79" spans="1:109" ht="19" hidden="1" customHeight="1">
      <c r="A79" s="547"/>
      <c r="B79" s="547"/>
      <c r="C79" s="547"/>
      <c r="D79" s="547"/>
      <c r="E79" s="547"/>
      <c r="F79" s="547" t="s">
        <v>203</v>
      </c>
      <c r="G79" s="547">
        <f>COUNTIFS($B$9:$B$38,"fr",[0]!April,"Skema 3")</f>
        <v>0</v>
      </c>
      <c r="H79" s="547">
        <v>1</v>
      </c>
      <c r="I79" s="554" t="s">
        <v>337</v>
      </c>
      <c r="J79" s="518"/>
      <c r="K79" s="518"/>
      <c r="L79" s="518"/>
      <c r="M79" s="517">
        <f>IF(Stamoplysninger!$B$26="Der er indgået lokalaftale omkring weekendtillæg(Kræver aftale med TR/FSL). Weekendtimerne udbetales.",M67,0)</f>
        <v>0</v>
      </c>
      <c r="N79" s="517">
        <f>IF(Stamoplysninger!$B$26="Der er indgået lokalaftale omkring weekendtillæg(Kræver aftale med TR/FSL). Weekendtimerne udbetales.",N67,0)</f>
        <v>0</v>
      </c>
      <c r="Y79"/>
      <c r="Z79"/>
      <c r="AO79" s="1"/>
      <c r="BL79" s="1"/>
      <c r="BW79" s="253"/>
      <c r="BX79" s="253"/>
      <c r="CY79"/>
      <c r="CZ79"/>
    </row>
    <row r="80" spans="1:109" ht="19" hidden="1" customHeight="1">
      <c r="A80" s="547" t="s">
        <v>298</v>
      </c>
      <c r="B80" s="547"/>
      <c r="C80" s="547"/>
      <c r="D80" s="547"/>
      <c r="E80" s="547"/>
      <c r="F80" s="547"/>
      <c r="G80" s="547"/>
      <c r="H80" s="547">
        <v>2</v>
      </c>
      <c r="I80" s="554" t="s">
        <v>489</v>
      </c>
      <c r="J80" s="518"/>
      <c r="K80" s="518"/>
      <c r="L80" s="518"/>
      <c r="M80" s="517">
        <f>IF(Stamoplysninger!$B$26="Der er indgået lokalaftale omkring weekendtillæg(Kræver aftale med TR/FSL). Weekendtimerne afspadseres.",M67,0)</f>
        <v>0</v>
      </c>
      <c r="N80" s="517">
        <f>IF(Stamoplysninger!$B$26="Der er indgået lokalaftale omkring weekendtillæg(Kræver aftale med TR/FSL). Weekendtimerne afspadseres.",N67,0)</f>
        <v>0</v>
      </c>
      <c r="Y80"/>
      <c r="Z80"/>
      <c r="AO80" s="1"/>
      <c r="BL80" s="1"/>
      <c r="BW80" s="253"/>
      <c r="BX80" s="253"/>
      <c r="CY80"/>
      <c r="CZ80"/>
    </row>
    <row r="81" spans="1:111" ht="19" hidden="1" customHeight="1">
      <c r="A81" s="547">
        <f>COUNTIF(C14:C15,"Skema 1")+COUNTIF(C14:C15,"Skema 2")+COUNTIF(C14:C15,"Skema 3")+COUNTIF(C14:C15,"Skema 4")+COUNTIF(C14:C15,"Fagdag")+COUNTIF(C14:C15,"Emnedag")+COUNTIF(C14:C15,"Lejrskole")+COUNTIF(C14:C15,"Ekskursion")+COUNTIF(C14:C15,"Pæd.dag")</f>
        <v>0</v>
      </c>
      <c r="B81" s="547"/>
      <c r="C81" s="547"/>
      <c r="D81" s="547"/>
      <c r="E81" s="547"/>
      <c r="F81" s="547" t="s">
        <v>204</v>
      </c>
      <c r="G81" s="547">
        <f>COUNTIFS($B$9:$B$38,"ma",[0]!April,"Skema 4")</f>
        <v>0</v>
      </c>
      <c r="H81" s="547"/>
      <c r="I81" s="554" t="s">
        <v>490</v>
      </c>
      <c r="J81" s="518"/>
      <c r="K81" s="518"/>
      <c r="L81" s="518"/>
      <c r="M81" s="517">
        <f>IF(Stamoplysninger!$B$26="Der er indgået lokalaftale omkring weekendtillæg(Kræver aftale med TR/FSL). Weekendtimerne udbetales.",M67,0)</f>
        <v>0</v>
      </c>
      <c r="N81" s="517">
        <f>IF(Stamoplysninger!$B$26="Der er indgået lokalaftale omkring weekendtillæg(Kræver aftale med TR/FSL). Weekendtimerne udbetales.",N67,0)</f>
        <v>0</v>
      </c>
      <c r="Y81"/>
      <c r="Z81"/>
      <c r="AO81" s="1"/>
      <c r="BL81" s="1"/>
      <c r="BW81" s="253"/>
      <c r="BX81" s="253"/>
      <c r="CY81"/>
      <c r="CZ81"/>
    </row>
    <row r="82" spans="1:111" ht="19" hidden="1" customHeight="1">
      <c r="A82" s="547">
        <f>COUNTIF(C21:C22,"Skema 1")+COUNTIF(C21:C22,"Skema 2")+COUNTIF(C21:C22,"Skema 3")+COUNTIF(C21:C22,"Skema 4")+COUNTIF(C21:C22,"Fagdag")+COUNTIF(C21:C22,"Emnedag")+COUNTIF(C21:C22,"Lejrskole")+COUNTIF(C21:C22,"Ekskursion")+COUNTIF(C21:C22,"Pæd.dag")</f>
        <v>0</v>
      </c>
      <c r="B82" s="547"/>
      <c r="C82" s="547"/>
      <c r="D82" s="547"/>
      <c r="E82" s="547"/>
      <c r="F82" s="547" t="s">
        <v>205</v>
      </c>
      <c r="G82" s="547">
        <f>COUNTIFS($B$9:$B$38,"ti",[0]!April,"Skema 4")</f>
        <v>0</v>
      </c>
      <c r="H82" s="547"/>
      <c r="I82" s="547" t="s">
        <v>486</v>
      </c>
      <c r="J82" s="477"/>
      <c r="K82" s="477"/>
      <c r="L82" s="477"/>
      <c r="M82" s="463">
        <f>IF(Stamoplysninger!$B$26="Der er indgået lokalaftale omkring weekendtimer og weekendtillæg.(Kræver aftale med TR/FSL).",M67,0)</f>
        <v>0</v>
      </c>
      <c r="N82" s="463"/>
      <c r="Y82"/>
      <c r="Z82"/>
      <c r="AO82" s="1"/>
      <c r="BL82" s="1"/>
      <c r="BW82" s="253"/>
      <c r="BX82" s="253"/>
      <c r="CY82"/>
      <c r="CZ82"/>
    </row>
    <row r="83" spans="1:111" ht="19" hidden="1" customHeight="1">
      <c r="A83" s="547">
        <f>COUNTIF(C28:C29,"Skema 1")+COUNTIF(C28:C29,"Skema 2")+COUNTIF(C28:C29,"Skema 3")+COUNTIF(C28:C29,"Skema 4")+COUNTIF(C28:C29,"Fagdag")+COUNTIF(C28:C29,"Emnedag")+COUNTIF(C28:C29,"Lejrskole")+COUNTIF(C28:C29,"Ekskursion")+COUNTIF(C28:C29,"Pæd.dag")</f>
        <v>0</v>
      </c>
      <c r="B83" s="547"/>
      <c r="C83" s="547"/>
      <c r="D83" s="547"/>
      <c r="E83" s="547"/>
      <c r="F83" s="547" t="s">
        <v>206</v>
      </c>
      <c r="G83" s="547">
        <f>COUNTIFS($B$9:$B$38,"on",[0]!April,"Skema 4")</f>
        <v>0</v>
      </c>
      <c r="H83" s="547"/>
      <c r="I83" s="547"/>
      <c r="J83" s="477"/>
      <c r="K83" s="477"/>
      <c r="L83" s="477"/>
      <c r="Y83"/>
      <c r="Z83"/>
      <c r="AO83" s="1"/>
      <c r="BL83" s="1"/>
      <c r="BW83" s="253"/>
      <c r="BX83" s="253"/>
      <c r="CY83"/>
      <c r="CZ83"/>
    </row>
    <row r="84" spans="1:111" ht="19" hidden="1" customHeight="1">
      <c r="A84" s="547">
        <f>COUNTIF(C35:C36,"Skema 1")+COUNTIF(C35:C36,"Skema 2")+COUNTIF(C35:C36,"Skema 3")+COUNTIF(C35:C36,"Skema 4")+COUNTIF(C35:C36,"Fagdag")+COUNTIF(C35:C36,"Emnedag")+COUNTIF(C35:C36,"Lejrskole")+COUNTIF(C35:C36,"Ekskursion")+COUNTIF(C35:C36,"Pæd.dag")</f>
        <v>0</v>
      </c>
      <c r="B84" s="547"/>
      <c r="C84" s="547"/>
      <c r="D84" s="547"/>
      <c r="E84" s="547"/>
      <c r="F84" s="547" t="s">
        <v>207</v>
      </c>
      <c r="G84" s="547">
        <f>COUNTIFS($B$9:$B$38,"to",[0]!April,"Skema 4")</f>
        <v>0</v>
      </c>
      <c r="H84" s="547"/>
      <c r="I84" s="547"/>
      <c r="J84" s="477"/>
      <c r="K84" s="477"/>
      <c r="L84" s="477"/>
      <c r="Y84"/>
      <c r="Z84"/>
      <c r="AO84" s="1">
        <f>SUM(N84:AN84)</f>
        <v>0</v>
      </c>
      <c r="BL84" s="1">
        <f>SUM(AI84:BK84)</f>
        <v>0</v>
      </c>
      <c r="BW84" s="253"/>
      <c r="BX84" s="253"/>
      <c r="CY84"/>
      <c r="CZ84"/>
    </row>
    <row r="85" spans="1:111" ht="19" hidden="1" customHeight="1">
      <c r="A85" s="547"/>
      <c r="B85" s="547"/>
      <c r="C85" s="547"/>
      <c r="D85" s="547"/>
      <c r="E85" s="547"/>
      <c r="F85" s="547" t="s">
        <v>208</v>
      </c>
      <c r="G85" s="547">
        <f>COUNTIFS($B$9:$B$38,"fr",[0]!April,"Skema 4")</f>
        <v>0</v>
      </c>
      <c r="H85" s="547"/>
      <c r="I85" s="552"/>
      <c r="J85" s="477"/>
      <c r="K85" s="477"/>
      <c r="L85" s="477"/>
      <c r="Y85"/>
      <c r="Z85"/>
      <c r="AO85" s="1">
        <f>SUM(N85:AN85)</f>
        <v>0</v>
      </c>
      <c r="BL85" s="1">
        <f>SUM(AI85:BK85)</f>
        <v>0</v>
      </c>
      <c r="BW85" s="253"/>
      <c r="BX85" s="253"/>
      <c r="CY85"/>
      <c r="CZ85"/>
    </row>
    <row r="86" spans="1:111" ht="19" hidden="1" customHeight="1">
      <c r="A86" s="547">
        <f>SUM(A81:A85)</f>
        <v>0</v>
      </c>
      <c r="B86" s="547"/>
      <c r="C86" s="547"/>
      <c r="D86" s="547"/>
      <c r="E86" s="547"/>
      <c r="F86" s="547"/>
      <c r="G86" s="555">
        <f>SUM(G63:G85)</f>
        <v>21</v>
      </c>
      <c r="H86" s="552"/>
      <c r="I86" s="552"/>
      <c r="J86" s="477"/>
      <c r="K86" s="477"/>
      <c r="L86" s="477"/>
      <c r="Y86"/>
      <c r="Z86"/>
      <c r="AO86" s="1">
        <f>SUM(N86:AN86)</f>
        <v>0</v>
      </c>
      <c r="BL86" s="1">
        <f>SUM(AI86:BK86)</f>
        <v>0</v>
      </c>
      <c r="BW86" s="253"/>
      <c r="BX86" s="253"/>
      <c r="CY86"/>
      <c r="CZ86"/>
    </row>
    <row r="87" spans="1:111" ht="19" customHeight="1">
      <c r="A87" s="552"/>
      <c r="B87" s="552"/>
      <c r="C87" s="552"/>
      <c r="D87" s="552"/>
      <c r="E87" s="547"/>
      <c r="F87" s="547"/>
      <c r="G87" s="547"/>
      <c r="H87" s="552"/>
      <c r="I87" s="552"/>
      <c r="J87" s="477"/>
      <c r="K87" s="477"/>
      <c r="L87" s="477"/>
      <c r="Y87"/>
      <c r="Z87"/>
      <c r="AO87" s="1">
        <f>SUM(N87:AN87)</f>
        <v>0</v>
      </c>
      <c r="BL87" s="1">
        <f>SUM(AI87:BK87)</f>
        <v>0</v>
      </c>
      <c r="BW87" s="253"/>
      <c r="BX87" s="253"/>
      <c r="CY87"/>
      <c r="CZ87"/>
    </row>
    <row r="88" spans="1:111">
      <c r="A88" s="552"/>
      <c r="B88" s="552"/>
      <c r="C88" s="552"/>
      <c r="D88" s="552"/>
      <c r="E88" s="547"/>
      <c r="F88" s="547"/>
      <c r="G88" s="547"/>
      <c r="H88" s="552"/>
      <c r="I88" s="552"/>
      <c r="J88" s="477"/>
      <c r="K88" s="477"/>
      <c r="L88" s="477"/>
      <c r="Y88"/>
      <c r="Z88"/>
      <c r="BW88" s="253"/>
      <c r="BX88" s="253"/>
      <c r="CY88"/>
      <c r="CZ88"/>
    </row>
    <row r="89" spans="1:111">
      <c r="A89" s="552"/>
      <c r="B89" s="552"/>
      <c r="C89" s="552"/>
      <c r="D89" s="552"/>
      <c r="E89" s="547"/>
      <c r="F89" s="547"/>
      <c r="G89" s="547"/>
      <c r="H89" s="552"/>
      <c r="I89" s="552"/>
      <c r="J89" s="477"/>
      <c r="K89" s="477"/>
      <c r="L89" s="477"/>
      <c r="Y89"/>
      <c r="Z89"/>
      <c r="BW89" s="253"/>
      <c r="BX89" s="253"/>
      <c r="CY89"/>
      <c r="CZ89"/>
    </row>
    <row r="90" spans="1:111">
      <c r="A90" s="552"/>
      <c r="B90" s="552"/>
      <c r="C90" s="552"/>
      <c r="D90" s="552"/>
      <c r="E90" s="547"/>
      <c r="F90" s="547"/>
      <c r="G90" s="547"/>
      <c r="H90" s="552"/>
      <c r="I90" s="552"/>
      <c r="J90" s="477"/>
      <c r="K90" s="477"/>
      <c r="L90" s="477"/>
      <c r="Y90"/>
      <c r="Z90"/>
      <c r="BW90" s="253"/>
      <c r="BX90" s="253"/>
      <c r="CY90"/>
      <c r="CZ90"/>
    </row>
    <row r="91" spans="1:111">
      <c r="A91" s="552"/>
      <c r="B91" s="552"/>
      <c r="C91" s="552"/>
      <c r="D91" s="552"/>
      <c r="E91" s="547"/>
      <c r="F91" s="547"/>
      <c r="G91" s="547"/>
      <c r="H91" s="552"/>
      <c r="I91" s="552"/>
      <c r="J91" s="477"/>
      <c r="K91" s="477"/>
      <c r="L91" s="477"/>
      <c r="Y91"/>
      <c r="Z91"/>
      <c r="BW91" s="253"/>
      <c r="BX91" s="253"/>
      <c r="CY91"/>
      <c r="CZ91"/>
    </row>
    <row r="92" spans="1:111">
      <c r="A92" s="477"/>
      <c r="B92" s="477"/>
      <c r="C92" s="477"/>
      <c r="D92" s="477"/>
      <c r="E92" s="122"/>
      <c r="F92" s="122"/>
      <c r="G92" s="122"/>
      <c r="H92" s="477"/>
      <c r="I92" s="477"/>
      <c r="J92" s="477"/>
      <c r="K92" s="477"/>
      <c r="L92" s="477"/>
      <c r="Y92"/>
      <c r="Z92"/>
      <c r="BW92" s="253"/>
      <c r="BX92" s="253"/>
      <c r="CY92"/>
      <c r="CZ92"/>
    </row>
    <row r="93" spans="1:111">
      <c r="A93" s="477"/>
      <c r="B93" s="477"/>
      <c r="C93" s="477"/>
      <c r="D93" s="477"/>
      <c r="E93" s="122"/>
      <c r="F93" s="122"/>
      <c r="G93" s="122"/>
      <c r="H93" s="477"/>
      <c r="I93" s="477"/>
      <c r="J93" s="477"/>
      <c r="K93" s="477"/>
      <c r="L93" s="477"/>
      <c r="Y93"/>
      <c r="Z93"/>
      <c r="AD93" s="4"/>
      <c r="AE93" s="235"/>
      <c r="AF93" s="235"/>
      <c r="AG93" s="235"/>
      <c r="AH93" s="235"/>
      <c r="CY93"/>
      <c r="CZ93"/>
      <c r="DF93" s="253"/>
      <c r="DG93" s="253"/>
    </row>
    <row r="94" spans="1:111">
      <c r="A94" s="477"/>
      <c r="B94" s="477"/>
      <c r="C94" s="477"/>
      <c r="D94" s="477"/>
      <c r="E94" s="122"/>
      <c r="F94" s="122"/>
      <c r="G94" s="122"/>
      <c r="H94" s="477"/>
      <c r="L94" s="477"/>
      <c r="Y94"/>
      <c r="Z94"/>
      <c r="AD94" s="4"/>
      <c r="AE94" s="235"/>
      <c r="AF94" s="235"/>
      <c r="AG94" s="235"/>
      <c r="AH94" s="235"/>
      <c r="CY94"/>
      <c r="CZ94"/>
      <c r="DF94" s="253"/>
      <c r="DG94" s="253"/>
    </row>
    <row r="95" spans="1:111">
      <c r="E95" s="94"/>
      <c r="F95" s="94"/>
      <c r="G95" s="94"/>
    </row>
    <row r="96" spans="1:111">
      <c r="E96" s="94"/>
      <c r="F96" s="94"/>
      <c r="G96" s="94"/>
    </row>
  </sheetData>
  <sheetProtection sheet="1" objects="1" scenarios="1"/>
  <mergeCells count="141">
    <mergeCell ref="I53:K53"/>
    <mergeCell ref="A54:G54"/>
    <mergeCell ref="I54:K54"/>
    <mergeCell ref="S5:X5"/>
    <mergeCell ref="S6:X6"/>
    <mergeCell ref="S8:U8"/>
    <mergeCell ref="V8:X8"/>
    <mergeCell ref="E17:G17"/>
    <mergeCell ref="E18:G18"/>
    <mergeCell ref="E19:G19"/>
    <mergeCell ref="E20:G20"/>
    <mergeCell ref="E21:G21"/>
    <mergeCell ref="E22:G22"/>
    <mergeCell ref="E11:G11"/>
    <mergeCell ref="E12:G12"/>
    <mergeCell ref="E13:G13"/>
    <mergeCell ref="E14:G14"/>
    <mergeCell ref="E15:G15"/>
    <mergeCell ref="E16:G16"/>
    <mergeCell ref="E29:G29"/>
    <mergeCell ref="E30:G30"/>
    <mergeCell ref="E31:G31"/>
    <mergeCell ref="E33:G33"/>
    <mergeCell ref="E34:G34"/>
    <mergeCell ref="A3:X3"/>
    <mergeCell ref="N6:N7"/>
    <mergeCell ref="O6:O7"/>
    <mergeCell ref="B2:E2"/>
    <mergeCell ref="E4:G4"/>
    <mergeCell ref="K4:L4"/>
    <mergeCell ref="A5:R5"/>
    <mergeCell ref="A4:D4"/>
    <mergeCell ref="I8:J8"/>
    <mergeCell ref="K8:R8"/>
    <mergeCell ref="I6:I7"/>
    <mergeCell ref="J6:J7"/>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P6:P7"/>
    <mergeCell ref="Q6:Q7"/>
    <mergeCell ref="R6:R7"/>
    <mergeCell ref="AA6:AE6"/>
    <mergeCell ref="AG6:AK6"/>
    <mergeCell ref="E6:G8"/>
    <mergeCell ref="K6:L6"/>
    <mergeCell ref="E35:G35"/>
    <mergeCell ref="E23:G23"/>
    <mergeCell ref="E24:G24"/>
    <mergeCell ref="E25:G25"/>
    <mergeCell ref="E26:G26"/>
    <mergeCell ref="E27:G27"/>
    <mergeCell ref="E28:G28"/>
    <mergeCell ref="E32:G32"/>
    <mergeCell ref="A42:G42"/>
    <mergeCell ref="I42:K42"/>
    <mergeCell ref="A43:G43"/>
    <mergeCell ref="I43:K43"/>
    <mergeCell ref="M43:U43"/>
    <mergeCell ref="V43:X43"/>
    <mergeCell ref="A46:G46"/>
    <mergeCell ref="I46:K46"/>
    <mergeCell ref="E36:G36"/>
    <mergeCell ref="E37:G37"/>
    <mergeCell ref="E38:G38"/>
    <mergeCell ref="A39:I39"/>
    <mergeCell ref="A41:G41"/>
    <mergeCell ref="I41:K41"/>
    <mergeCell ref="M41:X41"/>
    <mergeCell ref="M42:U42"/>
    <mergeCell ref="V42:X42"/>
    <mergeCell ref="I44:K44"/>
    <mergeCell ref="A45:G45"/>
    <mergeCell ref="I45:K45"/>
    <mergeCell ref="M44:U44"/>
    <mergeCell ref="A66:C66"/>
    <mergeCell ref="A64:C64"/>
    <mergeCell ref="A49:H49"/>
    <mergeCell ref="I49:K49"/>
    <mergeCell ref="I50:K50"/>
    <mergeCell ref="M49:U49"/>
    <mergeCell ref="V49:X49"/>
    <mergeCell ref="M50:U50"/>
    <mergeCell ref="V50:X50"/>
    <mergeCell ref="A65:C65"/>
    <mergeCell ref="M51:U51"/>
    <mergeCell ref="V51:X51"/>
    <mergeCell ref="A52:G53"/>
    <mergeCell ref="I52:K52"/>
    <mergeCell ref="M52:U52"/>
    <mergeCell ref="V52:X52"/>
    <mergeCell ref="A55:K55"/>
    <mergeCell ref="A56:B56"/>
    <mergeCell ref="C56:D56"/>
    <mergeCell ref="E56:G56"/>
    <mergeCell ref="H56:K56"/>
    <mergeCell ref="A57:B57"/>
    <mergeCell ref="C57:D57"/>
    <mergeCell ref="E57:G57"/>
    <mergeCell ref="A48:H48"/>
    <mergeCell ref="I48:K48"/>
    <mergeCell ref="A44:G44"/>
    <mergeCell ref="A47:H47"/>
    <mergeCell ref="I47:K47"/>
    <mergeCell ref="V44:X44"/>
    <mergeCell ref="M45:U45"/>
    <mergeCell ref="V45:X45"/>
    <mergeCell ref="M46:X46"/>
    <mergeCell ref="M47:U47"/>
    <mergeCell ref="V47:X47"/>
    <mergeCell ref="M48:U48"/>
    <mergeCell ref="V48:X48"/>
    <mergeCell ref="A60:B60"/>
    <mergeCell ref="C60:D60"/>
    <mergeCell ref="E60:G60"/>
    <mergeCell ref="I60:K60"/>
    <mergeCell ref="A61:G61"/>
    <mergeCell ref="I61:K61"/>
    <mergeCell ref="I57:K57"/>
    <mergeCell ref="A58:B58"/>
    <mergeCell ref="C58:D58"/>
    <mergeCell ref="E58:G58"/>
    <mergeCell ref="I58:K58"/>
    <mergeCell ref="A59:B59"/>
    <mergeCell ref="C59:D59"/>
    <mergeCell ref="E59:G59"/>
    <mergeCell ref="I59:K59"/>
  </mergeCells>
  <phoneticPr fontId="5" type="noConversion"/>
  <conditionalFormatting sqref="A9:H31 A32:E32 H32 A33:H38">
    <cfRule type="expression" dxfId="555" priority="41">
      <formula>OR($C9="ekskursion")</formula>
    </cfRule>
    <cfRule type="expression" dxfId="554" priority="47" stopIfTrue="1">
      <formula>OR($C9="Orlov")</formula>
    </cfRule>
    <cfRule type="expression" dxfId="553" priority="46">
      <formula>OR($C9="weekend")</formula>
    </cfRule>
    <cfRule type="expression" dxfId="552" priority="45">
      <formula>OR($C9="feriedag")</formula>
    </cfRule>
    <cfRule type="expression" dxfId="551" priority="44">
      <formula>OR($C9="fagdag")</formula>
    </cfRule>
    <cfRule type="expression" dxfId="550" priority="43">
      <formula>OR($C9="emnedag")</formula>
    </cfRule>
    <cfRule type="expression" dxfId="549" priority="42">
      <formula>OR($C9="lejrskole")</formula>
    </cfRule>
    <cfRule type="expression" dxfId="548" priority="40">
      <formula>OR($C9="SH-dag")</formula>
    </cfRule>
    <cfRule type="expression" dxfId="547" priority="39">
      <formula>OR($C9="nul-dag")</formula>
    </cfRule>
    <cfRule type="expression" dxfId="546" priority="38">
      <formula>OR($C9="pæd.dag")</formula>
    </cfRule>
    <cfRule type="expression" dxfId="545" priority="37">
      <formula>OR($C9="Ikke relevant")</formula>
    </cfRule>
    <cfRule type="expression" dxfId="544" priority="33">
      <formula>OR($C9="Skema 1")</formula>
    </cfRule>
    <cfRule type="expression" dxfId="543" priority="34">
      <formula>OR($C9="skema 2")</formula>
    </cfRule>
    <cfRule type="expression" dxfId="542" priority="35">
      <formula>OR($C9="Skema 3")</formula>
    </cfRule>
    <cfRule type="expression" dxfId="541" priority="36">
      <formula>OR($C9="Skema 4")</formula>
    </cfRule>
  </conditionalFormatting>
  <conditionalFormatting sqref="E20">
    <cfRule type="expression" dxfId="540" priority="49">
      <formula>OR($D19="nul-dag")</formula>
    </cfRule>
    <cfRule type="expression" dxfId="539" priority="50">
      <formula>OR($D19="SH-dag")</formula>
    </cfRule>
    <cfRule type="expression" dxfId="538" priority="51">
      <formula>OR($D19="ekskursion")</formula>
    </cfRule>
    <cfRule type="expression" dxfId="537" priority="52">
      <formula>OR($D19="lejrskole")</formula>
    </cfRule>
    <cfRule type="expression" dxfId="536" priority="48">
      <formula>OR($D19="pæd.dag")</formula>
    </cfRule>
    <cfRule type="expression" dxfId="535" priority="53">
      <formula>OR($D19="emnedag")</formula>
    </cfRule>
    <cfRule type="expression" dxfId="534" priority="54">
      <formula>OR($D19="fagdag")</formula>
    </cfRule>
    <cfRule type="expression" dxfId="533" priority="55">
      <formula>OR($D19="feriedag")</formula>
    </cfRule>
    <cfRule type="expression" dxfId="532" priority="56">
      <formula>OR($D19="weekend")</formula>
    </cfRule>
    <cfRule type="expression" dxfId="531" priority="57" stopIfTrue="1">
      <formula>OR($D19="skoledag")</formula>
    </cfRule>
    <cfRule type="expression" dxfId="530" priority="58">
      <formula>OR($D19="Ikke relevant")</formula>
    </cfRule>
  </conditionalFormatting>
  <conditionalFormatting sqref="H57:H60">
    <cfRule type="expression" dxfId="529" priority="1">
      <formula>OR($A57&gt;0,)</formula>
    </cfRule>
  </conditionalFormatting>
  <conditionalFormatting sqref="I57:I60">
    <cfRule type="expression" dxfId="528" priority="2">
      <formula>OR($C57&gt;0,)</formula>
    </cfRule>
  </conditionalFormatting>
  <conditionalFormatting sqref="K9:K38">
    <cfRule type="expression" dxfId="527" priority="30">
      <formula>OR($C9="Pæd.dag",)</formula>
    </cfRule>
  </conditionalFormatting>
  <conditionalFormatting sqref="K9:L38">
    <cfRule type="expression" dxfId="526" priority="32">
      <formula>OR($C9="Ekskursion",)</formula>
    </cfRule>
    <cfRule type="expression" dxfId="525" priority="31">
      <formula>OR($C9="Lejrskole",)</formula>
    </cfRule>
  </conditionalFormatting>
  <conditionalFormatting sqref="K9:M38">
    <cfRule type="expression" dxfId="524" priority="29">
      <formula>OR($C9="emnedag",)</formula>
    </cfRule>
    <cfRule type="expression" dxfId="523" priority="28">
      <formula>OR($C9="fagdag",)</formula>
    </cfRule>
  </conditionalFormatting>
  <conditionalFormatting sqref="R9:R38">
    <cfRule type="expression" dxfId="522" priority="59">
      <formula>OR($H9&gt;"0",)</formula>
    </cfRule>
  </conditionalFormatting>
  <conditionalFormatting sqref="V9:V38">
    <cfRule type="expression" dxfId="521" priority="10">
      <formula>OR($S9="X",)</formula>
    </cfRule>
  </conditionalFormatting>
  <conditionalFormatting sqref="V48:X51">
    <cfRule type="expression" dxfId="520" priority="3">
      <formula>OR($M48&gt;0,)</formula>
    </cfRule>
  </conditionalFormatting>
  <conditionalFormatting sqref="W9:W38">
    <cfRule type="expression" dxfId="519" priority="8">
      <formula>OR($T9="X",)</formula>
    </cfRule>
  </conditionalFormatting>
  <conditionalFormatting sqref="X9:X38">
    <cfRule type="expression" dxfId="518" priority="9">
      <formula>OR($U9="X",)</formula>
    </cfRule>
  </conditionalFormatting>
  <dataValidations count="3">
    <dataValidation type="list" allowBlank="1" showInputMessage="1" showErrorMessage="1" sqref="S9:U38 A57:D60" xr:uid="{6C7E9F36-C5DB-A948-BC25-9131908838E7}">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9 I14:I15 I21:I22 I28:I29 I34:I36" xr:uid="{32B16C4D-1D61-5842-B83B-CF621443D18A}">
      <formula1>$W$1:$W$2</formula1>
    </dataValidation>
    <dataValidation type="list" allowBlank="1" showInputMessage="1" showErrorMessage="1" promptTitle="OBS:" prompt="Ved arrangementer med overnatning ydes istedet for ulempe- og weekendgodtgørelse på hhv. 25% og 50% faste tillæg pr. påbegyndt dag. " sqref="J9:J38" xr:uid="{ED1638E6-AA03-1A48-AF1C-42685E3401FF}">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4CF7B6A6-F178-4542-A347-7572CD7C83B4}">
          <x14:formula1>
            <xm:f>August!$A$89:$A$103</xm:f>
          </x14:formula1>
          <xm:sqref>C9:C38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6B31-457F-CD4A-9C4B-CED4E72CB9C5}">
  <sheetPr>
    <tabColor theme="4" tint="-0.249977111117893"/>
    <pageSetUpPr fitToPage="1"/>
  </sheetPr>
  <dimension ref="A1:DN98"/>
  <sheetViews>
    <sheetView topLeftCell="A2" zoomScale="90" workbookViewId="0">
      <selection activeCell="E102" sqref="E102"/>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9"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44"/>
      <c r="Y1" s="251"/>
      <c r="Z1" s="94"/>
      <c r="AB1" s="94"/>
      <c r="AC1" s="94"/>
      <c r="AH1" s="94"/>
      <c r="AI1" s="94"/>
      <c r="CX1" s="253"/>
      <c r="CZ1"/>
    </row>
    <row r="2" spans="1:118" ht="20">
      <c r="A2" s="96">
        <v>5</v>
      </c>
      <c r="B2" s="1009"/>
      <c r="C2" s="1009"/>
      <c r="D2" s="1009"/>
      <c r="E2" s="1009"/>
      <c r="F2" s="94"/>
      <c r="G2" s="94"/>
      <c r="H2" s="292"/>
      <c r="I2" s="291"/>
      <c r="J2" s="234"/>
      <c r="K2" s="234"/>
      <c r="L2" s="234"/>
      <c r="M2" s="234"/>
      <c r="N2" s="234"/>
      <c r="O2" s="234"/>
      <c r="P2" s="94"/>
      <c r="Q2" s="94"/>
      <c r="R2" s="94"/>
      <c r="S2" s="94"/>
      <c r="T2" s="94"/>
      <c r="U2" s="94"/>
      <c r="V2" s="94"/>
      <c r="W2" s="127" t="s">
        <v>31</v>
      </c>
      <c r="X2" s="127" t="s">
        <v>31</v>
      </c>
      <c r="Y2"/>
      <c r="Z2" s="94"/>
      <c r="AA2" s="94"/>
      <c r="AE2" s="94"/>
      <c r="AG2" s="94"/>
      <c r="CV2" s="253"/>
      <c r="CW2" s="253"/>
      <c r="CY2"/>
      <c r="CZ2"/>
    </row>
    <row r="3" spans="1:118">
      <c r="A3" s="1022" t="s">
        <v>316</v>
      </c>
      <c r="B3" s="1023"/>
      <c r="C3" s="1023"/>
      <c r="D3" s="1023"/>
      <c r="E3" s="1023"/>
      <c r="F3" s="1023"/>
      <c r="G3" s="1023"/>
      <c r="H3" s="1023"/>
      <c r="I3" s="1023"/>
      <c r="J3" s="1023"/>
      <c r="K3" s="1023"/>
      <c r="L3" s="1023"/>
      <c r="M3" s="1023"/>
      <c r="N3" s="1023"/>
      <c r="O3" s="1023"/>
      <c r="P3" s="1023"/>
      <c r="Q3" s="1023"/>
      <c r="R3" s="1023"/>
      <c r="S3" s="1023"/>
      <c r="T3" s="1023"/>
      <c r="U3" s="1023"/>
      <c r="V3" s="1023"/>
      <c r="W3" s="1023"/>
      <c r="X3" s="1024"/>
      <c r="Y3" s="94"/>
      <c r="Z3"/>
      <c r="AC3" s="94"/>
      <c r="AD3" s="94"/>
      <c r="AF3" s="94"/>
      <c r="CT3" s="253"/>
      <c r="CU3" s="253"/>
      <c r="CY3"/>
      <c r="CZ3"/>
    </row>
    <row r="4" spans="1:118" ht="254" customHeight="1" thickBot="1">
      <c r="A4" s="921" t="s">
        <v>463</v>
      </c>
      <c r="B4" s="922"/>
      <c r="C4" s="922"/>
      <c r="D4" s="922"/>
      <c r="E4" s="923" t="s">
        <v>317</v>
      </c>
      <c r="F4" s="923"/>
      <c r="G4" s="923"/>
      <c r="H4" s="293" t="s">
        <v>442</v>
      </c>
      <c r="I4" s="468" t="s">
        <v>511</v>
      </c>
      <c r="J4" s="468" t="s">
        <v>512</v>
      </c>
      <c r="K4" s="933" t="s">
        <v>579</v>
      </c>
      <c r="L4" s="933"/>
      <c r="M4" s="533" t="s">
        <v>499</v>
      </c>
      <c r="N4" s="533" t="s">
        <v>464</v>
      </c>
      <c r="O4" s="533" t="s">
        <v>465</v>
      </c>
      <c r="P4" s="534" t="s">
        <v>500</v>
      </c>
      <c r="Q4" s="534" t="s">
        <v>315</v>
      </c>
      <c r="R4" s="534" t="s">
        <v>466</v>
      </c>
      <c r="S4" s="535" t="s">
        <v>509</v>
      </c>
      <c r="T4" s="535" t="s">
        <v>467</v>
      </c>
      <c r="U4" s="535" t="s">
        <v>468</v>
      </c>
      <c r="V4" s="536" t="s">
        <v>501</v>
      </c>
      <c r="W4" s="536" t="s">
        <v>427</v>
      </c>
      <c r="X4" s="537" t="s">
        <v>426</v>
      </c>
      <c r="Y4" s="251"/>
      <c r="Z4" s="94"/>
      <c r="AB4" s="94"/>
      <c r="AC4" s="94"/>
      <c r="AH4" s="94"/>
      <c r="AI4" s="94"/>
      <c r="CX4" s="253"/>
      <c r="CZ4"/>
    </row>
    <row r="5" spans="1:118" ht="26" thickBot="1">
      <c r="A5" s="934" t="str">
        <f>""&amp;A7&amp;" måneds kalender for: "&amp;Stamoplysninger!E8&amp;". Måneden vedr. normperioden: "&amp;Stamoplysninger!E11&amp;" - "&amp;Stamoplysninger!G11&amp;"."</f>
        <v>Maj måneds kalender for: . Måneden vedr. normperioden:  - .</v>
      </c>
      <c r="B5" s="935"/>
      <c r="C5" s="935"/>
      <c r="D5" s="935"/>
      <c r="E5" s="935"/>
      <c r="F5" s="935"/>
      <c r="G5" s="935"/>
      <c r="H5" s="935"/>
      <c r="I5" s="935"/>
      <c r="J5" s="935"/>
      <c r="K5" s="935"/>
      <c r="L5" s="935"/>
      <c r="M5" s="935"/>
      <c r="N5" s="935"/>
      <c r="O5" s="935"/>
      <c r="P5" s="935"/>
      <c r="Q5" s="935"/>
      <c r="R5" s="935"/>
      <c r="S5" s="928" t="s">
        <v>312</v>
      </c>
      <c r="T5" s="929"/>
      <c r="U5" s="929"/>
      <c r="V5" s="929"/>
      <c r="W5" s="929"/>
      <c r="X5" s="930"/>
      <c r="Y5" s="251"/>
      <c r="Z5" s="94"/>
      <c r="AB5" s="94"/>
      <c r="AC5" s="94"/>
      <c r="AH5" s="94"/>
      <c r="AI5" s="94"/>
      <c r="CX5" s="253"/>
      <c r="CZ5"/>
    </row>
    <row r="6" spans="1:118" ht="47" customHeight="1">
      <c r="A6" s="346">
        <f>Januar!A6</f>
        <v>2024</v>
      </c>
      <c r="B6" s="246"/>
      <c r="C6" s="247"/>
      <c r="D6" s="248"/>
      <c r="E6" s="941" t="s">
        <v>516</v>
      </c>
      <c r="F6" s="942"/>
      <c r="G6" s="943"/>
      <c r="H6" s="343" t="s">
        <v>344</v>
      </c>
      <c r="I6" s="912" t="s">
        <v>510</v>
      </c>
      <c r="J6" s="939" t="s">
        <v>535</v>
      </c>
      <c r="K6" s="936" t="s">
        <v>309</v>
      </c>
      <c r="L6" s="937"/>
      <c r="M6" s="344" t="s">
        <v>310</v>
      </c>
      <c r="N6" s="912" t="s">
        <v>478</v>
      </c>
      <c r="O6" s="912" t="s">
        <v>314</v>
      </c>
      <c r="P6" s="912" t="s">
        <v>498</v>
      </c>
      <c r="Q6" s="912" t="s">
        <v>413</v>
      </c>
      <c r="R6" s="919" t="s">
        <v>580</v>
      </c>
      <c r="S6" s="913" t="s">
        <v>311</v>
      </c>
      <c r="T6" s="914"/>
      <c r="U6" s="914"/>
      <c r="V6" s="914"/>
      <c r="W6" s="914"/>
      <c r="X6" s="915"/>
      <c r="Y6" s="216"/>
      <c r="Z6" s="216"/>
      <c r="AA6" s="909" t="s">
        <v>264</v>
      </c>
      <c r="AB6" s="909"/>
      <c r="AC6" s="909"/>
      <c r="AD6" s="909"/>
      <c r="AE6" s="909"/>
      <c r="AF6" s="213"/>
      <c r="AG6" s="909" t="s">
        <v>225</v>
      </c>
      <c r="AH6" s="909"/>
      <c r="AI6" s="909"/>
      <c r="AJ6" s="909"/>
      <c r="AK6" s="909"/>
      <c r="AL6" s="909" t="s">
        <v>226</v>
      </c>
      <c r="AM6" s="909"/>
      <c r="AN6" s="909"/>
      <c r="AO6" s="909"/>
      <c r="AP6" s="909"/>
      <c r="AQ6" s="909" t="s">
        <v>227</v>
      </c>
      <c r="AR6" s="909"/>
      <c r="AS6" s="909"/>
      <c r="AT6" s="909"/>
      <c r="AU6" s="909"/>
      <c r="AV6" s="909" t="s">
        <v>228</v>
      </c>
      <c r="AW6" s="909"/>
      <c r="AX6" s="909"/>
      <c r="AY6" s="909"/>
      <c r="AZ6" s="909"/>
      <c r="BA6" s="314"/>
      <c r="BB6" s="213"/>
      <c r="BC6" s="909" t="s">
        <v>267</v>
      </c>
      <c r="BD6" s="909"/>
      <c r="BE6" s="909"/>
      <c r="BF6" s="909"/>
      <c r="BG6" s="909" t="s">
        <v>230</v>
      </c>
      <c r="BH6" s="909"/>
      <c r="BI6" s="909"/>
      <c r="BJ6" s="909"/>
      <c r="BK6" s="909"/>
      <c r="BL6" s="909" t="s">
        <v>231</v>
      </c>
      <c r="BM6" s="909"/>
      <c r="BN6" s="909"/>
      <c r="BO6" s="909"/>
      <c r="BP6" s="909"/>
      <c r="BQ6" s="909" t="s">
        <v>232</v>
      </c>
      <c r="BR6" s="909"/>
      <c r="BS6" s="909"/>
      <c r="BT6" s="909"/>
      <c r="BU6" s="909"/>
      <c r="BV6" s="909" t="s">
        <v>233</v>
      </c>
      <c r="BW6" s="909"/>
      <c r="BX6" s="909"/>
      <c r="BY6" s="909"/>
      <c r="BZ6" s="909"/>
      <c r="CD6" s="909" t="s">
        <v>268</v>
      </c>
      <c r="CE6" s="909"/>
      <c r="CF6" s="909"/>
      <c r="CG6" s="909"/>
      <c r="CH6" s="909"/>
      <c r="CI6" s="909" t="s">
        <v>270</v>
      </c>
      <c r="CJ6" s="909"/>
      <c r="CK6" s="909"/>
      <c r="CL6" s="909"/>
      <c r="CM6" s="909"/>
      <c r="CN6" s="909" t="s">
        <v>269</v>
      </c>
      <c r="CO6" s="909"/>
      <c r="CP6" s="909"/>
      <c r="CQ6" s="909"/>
      <c r="CR6" s="909"/>
      <c r="CS6" s="909" t="s">
        <v>271</v>
      </c>
      <c r="CT6" s="909"/>
      <c r="CU6" s="909"/>
      <c r="CV6" s="909"/>
      <c r="CW6" s="909"/>
      <c r="CX6" s="253"/>
      <c r="CZ6"/>
      <c r="DA6" s="682" t="s">
        <v>215</v>
      </c>
      <c r="DB6" s="682"/>
      <c r="DC6" s="682"/>
      <c r="DD6" s="682"/>
      <c r="DE6" s="682"/>
    </row>
    <row r="7" spans="1:118" ht="152" customHeight="1">
      <c r="A7" s="828" t="s">
        <v>290</v>
      </c>
      <c r="B7" s="829"/>
      <c r="C7" s="829"/>
      <c r="D7" s="830"/>
      <c r="E7" s="944"/>
      <c r="F7" s="945"/>
      <c r="G7" s="946"/>
      <c r="H7" s="910" t="s">
        <v>534</v>
      </c>
      <c r="I7" s="938"/>
      <c r="J7" s="940"/>
      <c r="K7" s="345" t="s">
        <v>581</v>
      </c>
      <c r="L7" s="345" t="s">
        <v>582</v>
      </c>
      <c r="M7" s="345" t="s">
        <v>583</v>
      </c>
      <c r="N7" s="911"/>
      <c r="O7" s="911"/>
      <c r="P7" s="911"/>
      <c r="Q7" s="911"/>
      <c r="R7" s="920"/>
      <c r="S7" s="539" t="s">
        <v>508</v>
      </c>
      <c r="T7" s="344" t="s">
        <v>313</v>
      </c>
      <c r="U7" s="344" t="s">
        <v>428</v>
      </c>
      <c r="V7" s="475" t="s">
        <v>470</v>
      </c>
      <c r="W7" s="475" t="s">
        <v>469</v>
      </c>
      <c r="X7" s="476" t="s">
        <v>425</v>
      </c>
      <c r="Y7" s="216" t="s">
        <v>282</v>
      </c>
      <c r="Z7" s="216" t="s">
        <v>283</v>
      </c>
      <c r="AA7" s="316" t="s">
        <v>214</v>
      </c>
      <c r="AB7" t="s">
        <v>137</v>
      </c>
      <c r="AC7" t="s">
        <v>140</v>
      </c>
      <c r="AD7" t="s">
        <v>139</v>
      </c>
      <c r="AE7" t="s">
        <v>138</v>
      </c>
      <c r="AF7" t="s">
        <v>444</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266</v>
      </c>
      <c r="BD7" t="s">
        <v>265</v>
      </c>
      <c r="BE7" t="s">
        <v>251</v>
      </c>
      <c r="BF7" t="s">
        <v>252</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254</v>
      </c>
      <c r="CC7" s="316" t="s">
        <v>255</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280</v>
      </c>
      <c r="CY7" s="253" t="s">
        <v>272</v>
      </c>
      <c r="CZ7" s="253" t="s">
        <v>273</v>
      </c>
      <c r="DA7" s="253" t="s">
        <v>274</v>
      </c>
      <c r="DB7" s="253" t="s">
        <v>275</v>
      </c>
      <c r="DC7" s="253" t="s">
        <v>276</v>
      </c>
      <c r="DD7" s="253" t="s">
        <v>277</v>
      </c>
      <c r="DE7" s="253" t="s">
        <v>278</v>
      </c>
      <c r="DF7" s="253" t="s">
        <v>279</v>
      </c>
      <c r="DG7" s="253"/>
    </row>
    <row r="8" spans="1:118" ht="20" customHeight="1">
      <c r="A8" s="831"/>
      <c r="B8" s="832"/>
      <c r="C8" s="832"/>
      <c r="D8" s="833"/>
      <c r="E8" s="947"/>
      <c r="F8" s="948"/>
      <c r="G8" s="949"/>
      <c r="H8" s="911"/>
      <c r="I8" s="931" t="s">
        <v>409</v>
      </c>
      <c r="J8" s="918"/>
      <c r="K8" s="931" t="s">
        <v>346</v>
      </c>
      <c r="L8" s="917"/>
      <c r="M8" s="917"/>
      <c r="N8" s="917"/>
      <c r="O8" s="917"/>
      <c r="P8" s="917"/>
      <c r="Q8" s="917"/>
      <c r="R8" s="917"/>
      <c r="S8" s="916" t="s">
        <v>409</v>
      </c>
      <c r="T8" s="917"/>
      <c r="U8" s="918"/>
      <c r="V8" s="931" t="s">
        <v>410</v>
      </c>
      <c r="W8" s="917"/>
      <c r="X8" s="932"/>
      <c r="Y8" s="216"/>
      <c r="Z8" s="216"/>
      <c r="AA8" s="316"/>
      <c r="BB8" s="232"/>
      <c r="CA8" s="116"/>
      <c r="CB8" s="238"/>
      <c r="CC8" s="316"/>
      <c r="CX8" s="253"/>
      <c r="DA8" s="253"/>
      <c r="DB8" s="253"/>
      <c r="DC8" s="253"/>
      <c r="DD8" s="253"/>
      <c r="DE8" s="253"/>
      <c r="DF8" s="253"/>
      <c r="DG8" s="253"/>
      <c r="DH8" t="s">
        <v>543</v>
      </c>
      <c r="DI8" t="s">
        <v>544</v>
      </c>
      <c r="DJ8" t="s">
        <v>545</v>
      </c>
    </row>
    <row r="9" spans="1:118">
      <c r="A9" s="249">
        <f>IF(ISNUMBER(A7),A7+1,1)</f>
        <v>1</v>
      </c>
      <c r="B9" s="132" t="str">
        <f t="shared" ref="B9:B39" si="0">CHOOSE(MOD(WEEKDAY(DATE(A$6,A$2,A9)),7)+1,"lø","sø","ma","ti","on","to","fr",)</f>
        <v>on</v>
      </c>
      <c r="C9" s="133" t="s">
        <v>209</v>
      </c>
      <c r="D9" s="134" t="str">
        <f t="shared" ref="D9:D39" si="1">IF(B9="ma",(DATE(A$6,A$2,A9)-DATE(A$6,1,1)+7)/7,"")</f>
        <v/>
      </c>
      <c r="E9" s="871"/>
      <c r="F9" s="872"/>
      <c r="G9" s="873"/>
      <c r="H9" s="313"/>
      <c r="I9" s="582"/>
      <c r="J9" s="440"/>
      <c r="K9" s="405"/>
      <c r="L9" s="405"/>
      <c r="M9" s="405"/>
      <c r="N9" s="334">
        <f>BA9</f>
        <v>0</v>
      </c>
      <c r="O9" s="334">
        <f>CA9</f>
        <v>0</v>
      </c>
      <c r="P9" s="334">
        <f>IF(Stamoplysninger!$H$29="JA",Maj!DG9,CX9)</f>
        <v>0</v>
      </c>
      <c r="Q9" s="334">
        <f>IF(OR(C9="Lejrskole",C9="Ekskursion"),0,N9-O9-P9)</f>
        <v>0</v>
      </c>
      <c r="R9" s="335"/>
      <c r="S9" s="341"/>
      <c r="T9" s="342"/>
      <c r="U9" s="342"/>
      <c r="V9" s="336"/>
      <c r="W9" s="472"/>
      <c r="X9" s="337"/>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1",B9="ma"),Arbejdstidsoversigt!$E$44,"")</f>
        <v/>
      </c>
      <c r="AH9" t="str">
        <f>IF(AND(C9="Skema 1",B9="ti"),Arbejdstidsoversigt!$E$45,"")</f>
        <v/>
      </c>
      <c r="AI9">
        <f>IF(AND(C9="Skema 1",B9="on"),Arbejdstidsoversigt!$E$46,"")</f>
        <v>0</v>
      </c>
      <c r="AJ9" t="str">
        <f>IF(AND(C9="Skema 1",B9="to"),Arbejdstidsoversigt!$E$47,"")</f>
        <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9" si="8">SUM(AG9:AK9)*24</f>
        <v>0</v>
      </c>
      <c r="BC9" s="1">
        <f>IF($C$9="Lejrskole",$L$9,0)</f>
        <v>0</v>
      </c>
      <c r="BD9" s="1">
        <f t="shared" ref="BD9:BD39" si="9">IF(C9="Ekskursion",L9,0)</f>
        <v>0</v>
      </c>
      <c r="BE9" s="1">
        <f t="shared" ref="BE9:BE39" si="10">IF(C9="fagdag",L9,0)</f>
        <v>0</v>
      </c>
      <c r="BF9" s="1">
        <f t="shared" ref="BF9:BF39" si="11">IF(C9="emnedag",L9,0)</f>
        <v>0</v>
      </c>
      <c r="BG9" s="214" t="str">
        <f>IF(AND($C$9="Skema 1",$B$9="ma"),Skemaoplysninger!E30,"")</f>
        <v/>
      </c>
      <c r="BH9" s="214" t="str">
        <f>IF(AND(C9="Skema 1",B9="ti"),Skemaoplysninger!$F$30,"")</f>
        <v/>
      </c>
      <c r="BI9" s="214">
        <f>IF(AND(C9="Skema 1",B9="on"),Skemaoplysninger!$G$30,"")</f>
        <v>0</v>
      </c>
      <c r="BJ9" s="214" t="str">
        <f>IF(AND(C9="Skema 1",B9="to"),Skemaoplysninger!$H$30,"")</f>
        <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9" si="12">IF(C9="fagdag",M9,0)</f>
        <v>0</v>
      </c>
      <c r="CC9" s="1">
        <f t="shared" ref="CC9:CC39" si="13">IF(C9="emnedag",M9,0)</f>
        <v>0</v>
      </c>
      <c r="CD9" s="214" t="str">
        <f>IF(AND(C9="Skema 1",B9="ma"),Skemaoplysninger!$E$39,"")</f>
        <v/>
      </c>
      <c r="CE9" s="214" t="str">
        <f>IF(AND(C9="Skema 1",B9="ti"),Skemaoplysninger!$F$39,"")</f>
        <v/>
      </c>
      <c r="CF9" s="214">
        <f>IF(AND(C9="Skema 1",B9="on"),Skemaoplysninger!$G$39,"")</f>
        <v>0</v>
      </c>
      <c r="CG9" s="214" t="str">
        <f>IF(AND(C9="Skema 1",B9="to"),Skemaoplysninger!$H$39,"")</f>
        <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8" si="14">IF(DH9=0,"",DH9)</f>
        <v/>
      </c>
      <c r="DL9" t="str">
        <f>IF(DI9=0,"",DI9)</f>
        <v/>
      </c>
      <c r="DM9" t="str">
        <f>IF(DJ9=0,"",DJ9)</f>
        <v/>
      </c>
      <c r="DN9" t="str">
        <f>DK9&amp;""&amp;DL9&amp;""&amp;DM9</f>
        <v/>
      </c>
    </row>
    <row r="10" spans="1:118">
      <c r="A10" s="249">
        <f t="shared" ref="A10:A38" si="15">IF(ISNUMBER(A9),A9+1,1)</f>
        <v>2</v>
      </c>
      <c r="B10" s="132" t="str">
        <f t="shared" si="0"/>
        <v>to</v>
      </c>
      <c r="C10" s="133" t="s">
        <v>209</v>
      </c>
      <c r="D10" s="134" t="str">
        <f t="shared" si="1"/>
        <v/>
      </c>
      <c r="E10" s="871"/>
      <c r="F10" s="872"/>
      <c r="G10" s="873"/>
      <c r="H10" s="313"/>
      <c r="I10" s="582"/>
      <c r="J10" s="440"/>
      <c r="K10" s="405"/>
      <c r="L10" s="405"/>
      <c r="M10" s="405"/>
      <c r="N10" s="334">
        <f t="shared" ref="N10:N39" si="16">BA10</f>
        <v>0</v>
      </c>
      <c r="O10" s="334">
        <f t="shared" ref="O10:O39" si="17">CA10</f>
        <v>0</v>
      </c>
      <c r="P10" s="334">
        <f>IF(Stamoplysninger!$H$29="JA",Maj!DG10,CX10)</f>
        <v>0</v>
      </c>
      <c r="Q10" s="334">
        <f t="shared" ref="Q10:Q39" si="18">IF(OR(C10="Lejrskole",C10="Ekskursion"),0,N10-O10-P10)</f>
        <v>0</v>
      </c>
      <c r="R10" s="335"/>
      <c r="S10" s="341"/>
      <c r="T10" s="342"/>
      <c r="U10" s="342"/>
      <c r="V10" s="336"/>
      <c r="W10" s="472"/>
      <c r="X10" s="337"/>
      <c r="Y10">
        <f t="shared" ref="Y10:Y39" si="19">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1",B10="ma"),Arbejdstidsoversigt!$E$44,"")</f>
        <v/>
      </c>
      <c r="AH10" t="str">
        <f>IF(AND(C10="Skema 1",B10="ti"),Arbejdstidsoversigt!$E$45,"")</f>
        <v/>
      </c>
      <c r="AI10" t="str">
        <f>IF(AND(C10="Skema 1",B10="on"),Arbejdstidsoversigt!$E$46,"")</f>
        <v/>
      </c>
      <c r="AJ10">
        <f>IF(AND(C10="Skema 1",B10="to"),Arbejdstidsoversigt!$E$47,"")</f>
        <v>0</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9" si="20">SUM(AA10:AZ10)</f>
        <v>0</v>
      </c>
      <c r="BB10" s="233">
        <f t="shared" si="8"/>
        <v>0</v>
      </c>
      <c r="BC10" s="1">
        <f t="shared" ref="BC10:BC39" si="21">IF(C10="Lejrskole",L10,0)</f>
        <v>0</v>
      </c>
      <c r="BD10" s="1">
        <f t="shared" si="9"/>
        <v>0</v>
      </c>
      <c r="BE10" s="1">
        <f t="shared" si="10"/>
        <v>0</v>
      </c>
      <c r="BF10" s="1">
        <f t="shared" si="11"/>
        <v>0</v>
      </c>
      <c r="BG10" s="214" t="str">
        <f>IF(AND(C10="Skema 1",B10="ma"),Skemaoplysninger!$E$30,"")</f>
        <v/>
      </c>
      <c r="BH10" s="214" t="str">
        <f>IF(AND(C10="Skema 1",B10="ti"),Skemaoplysninger!$F$30,"")</f>
        <v/>
      </c>
      <c r="BI10" s="214" t="str">
        <f>IF(AND(C10="Skema 1",B10="on"),Skemaoplysninger!$G$30,"")</f>
        <v/>
      </c>
      <c r="BJ10" s="214">
        <f>IF(AND(C10="Skema 1",B10="to"),Skemaoplysninger!$H$30,"")</f>
        <v>0</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9" si="22">SUM(BG10:BZ10)*24+SUM(BC10:BF10)</f>
        <v>0</v>
      </c>
      <c r="CB10" s="1">
        <f t="shared" si="12"/>
        <v>0</v>
      </c>
      <c r="CC10" s="1">
        <f t="shared" si="13"/>
        <v>0</v>
      </c>
      <c r="CD10" s="214" t="str">
        <f>IF(AND(C10="Skema 1",B10="ma"),Skemaoplysninger!$E$39,"")</f>
        <v/>
      </c>
      <c r="CE10" s="214" t="str">
        <f>IF(AND(C10="Skema 1",B10="ti"),Skemaoplysninger!$F$39,"")</f>
        <v/>
      </c>
      <c r="CF10" s="214" t="str">
        <f>IF(AND(C10="Skema 1",B10="on"),Skemaoplysninger!$G$39,"")</f>
        <v/>
      </c>
      <c r="CG10" s="214">
        <f>IF(AND(C10="Skema 1",B10="to"),Skemaoplysninger!$H$39,"")</f>
        <v>0</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9" si="23">SUM(CY10:DF10)</f>
        <v>0</v>
      </c>
      <c r="DH10" t="str">
        <f t="shared" ref="DH10:DH39" si="24">IF(AND(E10&gt;0,H10&gt;0),""&amp;E10&amp;" og "&amp;H10&amp;"","")</f>
        <v/>
      </c>
      <c r="DI10">
        <f t="shared" ref="DI10:DI39" si="25">IF(H10="",E10,"")</f>
        <v>0</v>
      </c>
      <c r="DJ10">
        <f t="shared" ref="DJ10:DJ39" si="26">IF(E10="",H10,"")</f>
        <v>0</v>
      </c>
      <c r="DK10" t="str">
        <f t="shared" si="14"/>
        <v/>
      </c>
      <c r="DL10" t="str">
        <f t="shared" si="14"/>
        <v/>
      </c>
      <c r="DM10" t="str">
        <f t="shared" si="14"/>
        <v/>
      </c>
      <c r="DN10" t="str">
        <f t="shared" ref="DN10:DN39" si="27">DK10&amp;""&amp;DL10&amp;""&amp;DM10</f>
        <v/>
      </c>
    </row>
    <row r="11" spans="1:118">
      <c r="A11" s="249">
        <f t="shared" si="15"/>
        <v>3</v>
      </c>
      <c r="B11" s="132" t="str">
        <f t="shared" si="0"/>
        <v>fr</v>
      </c>
      <c r="C11" s="133" t="s">
        <v>209</v>
      </c>
      <c r="D11" s="134" t="str">
        <f t="shared" si="1"/>
        <v/>
      </c>
      <c r="E11" s="871"/>
      <c r="F11" s="872"/>
      <c r="G11" s="873"/>
      <c r="H11" s="313"/>
      <c r="I11" s="582"/>
      <c r="J11" s="440"/>
      <c r="K11" s="405"/>
      <c r="L11" s="405"/>
      <c r="M11" s="405"/>
      <c r="N11" s="334">
        <f t="shared" si="16"/>
        <v>0</v>
      </c>
      <c r="O11" s="334">
        <f t="shared" si="17"/>
        <v>0</v>
      </c>
      <c r="P11" s="334">
        <f>IF(Stamoplysninger!$H$29="JA",Maj!DG11,CX11)</f>
        <v>0</v>
      </c>
      <c r="Q11" s="334">
        <f t="shared" si="18"/>
        <v>0</v>
      </c>
      <c r="R11" s="335"/>
      <c r="S11" s="341"/>
      <c r="T11" s="342"/>
      <c r="U11" s="342"/>
      <c r="V11" s="336"/>
      <c r="W11" s="472"/>
      <c r="X11" s="337"/>
      <c r="Y11">
        <f t="shared" si="19"/>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f>IF(AND(C11="Skema 1",B11="fr"),Arbejdstidsoversigt!$E$48,"")</f>
        <v>0</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8"/>
        <v>0</v>
      </c>
      <c r="BC11" s="1">
        <f t="shared" si="21"/>
        <v>0</v>
      </c>
      <c r="BD11" s="1">
        <f t="shared" si="9"/>
        <v>0</v>
      </c>
      <c r="BE11" s="1">
        <f t="shared" si="10"/>
        <v>0</v>
      </c>
      <c r="BF11" s="1">
        <f t="shared" si="11"/>
        <v>0</v>
      </c>
      <c r="BG11" s="214" t="str">
        <f>IF(AND(C11="Skema 1",B11="ma"),Skemaoplysninger!$E$30,"")</f>
        <v/>
      </c>
      <c r="BH11" s="214" t="str">
        <f>IF(AND(C11="Skema 1",B11="ti"),Skemaoplysninger!$F$30,"")</f>
        <v/>
      </c>
      <c r="BI11" s="214" t="str">
        <f>IF(AND(C11="Skema 1",B11="on"),Skemaoplysninger!$G$30,"")</f>
        <v/>
      </c>
      <c r="BJ11" s="214" t="str">
        <f>IF(AND(C11="Skema 1",B11="to"),Skemaoplysninger!$H$30,"")</f>
        <v/>
      </c>
      <c r="BK11" s="214">
        <f>IF(AND(C11="Skema 1",B11="fr"),Skemaoplysninger!$I$30,"")</f>
        <v>0</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2"/>
        <v>0</v>
      </c>
      <c r="CC11" s="1">
        <f t="shared" si="13"/>
        <v>0</v>
      </c>
      <c r="CD11" s="214" t="str">
        <f>IF(AND(C11="Skema 1",B11="ma"),Skemaoplysninger!$E$39,"")</f>
        <v/>
      </c>
      <c r="CE11" s="214" t="str">
        <f>IF(AND(C11="Skema 1",B11="ti"),Skemaoplysninger!$F$39,"")</f>
        <v/>
      </c>
      <c r="CF11" s="214" t="str">
        <f>IF(AND(C11="Skema 1",B11="on"),Skemaoplysninger!$G$39,"")</f>
        <v/>
      </c>
      <c r="CG11" s="214" t="str">
        <f>IF(AND(C11="Skema 1",B11="to"),Skemaoplysninger!$H$39,"")</f>
        <v/>
      </c>
      <c r="CH11" s="214">
        <f>IF(AND(C11="Skema 1",B11="fr"),Skemaoplysninger!$I$39,"")</f>
        <v>0</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4"/>
        <v/>
      </c>
      <c r="DL11" t="str">
        <f t="shared" si="14"/>
        <v/>
      </c>
      <c r="DM11" t="str">
        <f t="shared" si="14"/>
        <v/>
      </c>
      <c r="DN11" t="str">
        <f t="shared" si="27"/>
        <v/>
      </c>
    </row>
    <row r="12" spans="1:118">
      <c r="A12" s="249">
        <f t="shared" si="15"/>
        <v>4</v>
      </c>
      <c r="B12" s="132" t="str">
        <f t="shared" si="0"/>
        <v>lø</v>
      </c>
      <c r="C12" s="133" t="s">
        <v>121</v>
      </c>
      <c r="D12" s="134" t="str">
        <f t="shared" si="1"/>
        <v/>
      </c>
      <c r="E12" s="871"/>
      <c r="F12" s="872"/>
      <c r="G12" s="873"/>
      <c r="H12" s="313"/>
      <c r="I12" s="440"/>
      <c r="J12" s="440"/>
      <c r="K12" s="405"/>
      <c r="L12" s="405"/>
      <c r="M12" s="405"/>
      <c r="N12" s="334">
        <f t="shared" si="16"/>
        <v>0</v>
      </c>
      <c r="O12" s="334">
        <f t="shared" si="17"/>
        <v>0</v>
      </c>
      <c r="P12" s="334">
        <f>IF(Stamoplysninger!$H$29="JA",Maj!DG12,CX12)</f>
        <v>0</v>
      </c>
      <c r="Q12" s="334">
        <f t="shared" si="18"/>
        <v>0</v>
      </c>
      <c r="R12" s="335"/>
      <c r="S12" s="341"/>
      <c r="T12" s="342"/>
      <c r="U12" s="342"/>
      <c r="V12" s="336"/>
      <c r="W12" s="472"/>
      <c r="X12" s="337"/>
      <c r="Y12">
        <f t="shared" si="19"/>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1",B12="ma"),Arbejdstidsoversigt!$E$44,"")</f>
        <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8"/>
        <v>0</v>
      </c>
      <c r="BC12" s="1">
        <f t="shared" si="21"/>
        <v>0</v>
      </c>
      <c r="BD12" s="1">
        <f t="shared" si="9"/>
        <v>0</v>
      </c>
      <c r="BE12" s="1">
        <f t="shared" si="10"/>
        <v>0</v>
      </c>
      <c r="BF12" s="1">
        <f t="shared" si="11"/>
        <v>0</v>
      </c>
      <c r="BG12" s="214" t="str">
        <f>IF(AND(C12="Skema 1",B12="ma"),Skemaoplysninger!$E$30,"")</f>
        <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2"/>
        <v>0</v>
      </c>
      <c r="CC12" s="1">
        <f t="shared" si="13"/>
        <v>0</v>
      </c>
      <c r="CD12" s="214" t="str">
        <f>IF(AND(C12="Skema 1",B12="ma"),Skemaoplysninger!$E$39,"")</f>
        <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4"/>
        <v/>
      </c>
      <c r="DL12" t="str">
        <f t="shared" si="14"/>
        <v/>
      </c>
      <c r="DM12" t="str">
        <f t="shared" si="14"/>
        <v/>
      </c>
      <c r="DN12" t="str">
        <f t="shared" si="27"/>
        <v/>
      </c>
    </row>
    <row r="13" spans="1:118">
      <c r="A13" s="249">
        <f t="shared" si="15"/>
        <v>5</v>
      </c>
      <c r="B13" s="132" t="str">
        <f t="shared" si="0"/>
        <v>sø</v>
      </c>
      <c r="C13" s="133" t="s">
        <v>121</v>
      </c>
      <c r="D13" s="134" t="str">
        <f t="shared" si="1"/>
        <v/>
      </c>
      <c r="E13" s="871"/>
      <c r="F13" s="872"/>
      <c r="G13" s="873"/>
      <c r="H13" s="313"/>
      <c r="I13" s="440"/>
      <c r="J13" s="440"/>
      <c r="K13" s="405"/>
      <c r="L13" s="405"/>
      <c r="M13" s="405"/>
      <c r="N13" s="334">
        <f t="shared" si="16"/>
        <v>0</v>
      </c>
      <c r="O13" s="334">
        <f t="shared" si="17"/>
        <v>0</v>
      </c>
      <c r="P13" s="334">
        <f>IF(Stamoplysninger!$H$29="JA",Maj!DG13,CX13)</f>
        <v>0</v>
      </c>
      <c r="Q13" s="334">
        <f t="shared" si="18"/>
        <v>0</v>
      </c>
      <c r="R13" s="335"/>
      <c r="S13" s="341"/>
      <c r="T13" s="342"/>
      <c r="U13" s="342"/>
      <c r="V13" s="336"/>
      <c r="W13" s="472"/>
      <c r="X13" s="337"/>
      <c r="Y13">
        <f t="shared" si="19"/>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1",B13="ma"),Arbejdstidsoversigt!$E$44,"")</f>
        <v/>
      </c>
      <c r="AH13" t="str">
        <f>IF(AND(C13="Skema 1",B13="ti"),Arbejdstidsoversigt!$E$45,"")</f>
        <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0</v>
      </c>
      <c r="BB13" s="233">
        <f t="shared" si="8"/>
        <v>0</v>
      </c>
      <c r="BC13" s="1">
        <f t="shared" si="21"/>
        <v>0</v>
      </c>
      <c r="BD13" s="1">
        <f t="shared" si="9"/>
        <v>0</v>
      </c>
      <c r="BE13" s="1">
        <f t="shared" si="10"/>
        <v>0</v>
      </c>
      <c r="BF13" s="1">
        <f t="shared" si="11"/>
        <v>0</v>
      </c>
      <c r="BG13" s="214" t="str">
        <f>IF(AND(C13="Skema 1",B13="ma"),Skemaoplysninger!$E$30,"")</f>
        <v/>
      </c>
      <c r="BH13" s="214" t="str">
        <f>IF(AND(C13="Skema 1",B13="ti"),Skemaoplysninger!$F$30,"")</f>
        <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2"/>
        <v>0</v>
      </c>
      <c r="CC13" s="1">
        <f t="shared" si="13"/>
        <v>0</v>
      </c>
      <c r="CD13" s="214" t="str">
        <f>IF(AND(C13="Skema 1",B13="ma"),Skemaoplysninger!$E$39,"")</f>
        <v/>
      </c>
      <c r="CE13" s="214" t="str">
        <f>IF(AND(C13="Skema 1",B13="ti"),Skemaoplysninger!$F$39,"")</f>
        <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4"/>
        <v/>
      </c>
      <c r="DL13" t="str">
        <f t="shared" si="14"/>
        <v/>
      </c>
      <c r="DM13" t="str">
        <f t="shared" si="14"/>
        <v/>
      </c>
      <c r="DN13" t="str">
        <f t="shared" si="27"/>
        <v/>
      </c>
    </row>
    <row r="14" spans="1:118" ht="16" customHeight="1">
      <c r="A14" s="249">
        <f t="shared" si="15"/>
        <v>6</v>
      </c>
      <c r="B14" s="132" t="str">
        <f t="shared" si="0"/>
        <v>ma</v>
      </c>
      <c r="C14" s="133" t="s">
        <v>209</v>
      </c>
      <c r="D14" s="134">
        <f t="shared" si="1"/>
        <v>19</v>
      </c>
      <c r="E14" s="871"/>
      <c r="F14" s="872"/>
      <c r="G14" s="873"/>
      <c r="H14" s="313"/>
      <c r="I14" s="582"/>
      <c r="J14" s="440"/>
      <c r="K14" s="405"/>
      <c r="L14" s="405"/>
      <c r="M14" s="405"/>
      <c r="N14" s="334">
        <f t="shared" si="16"/>
        <v>0</v>
      </c>
      <c r="O14" s="334">
        <f t="shared" si="17"/>
        <v>0</v>
      </c>
      <c r="P14" s="334">
        <f>IF(Stamoplysninger!$H$29="JA",Maj!DG14,CX14)</f>
        <v>0</v>
      </c>
      <c r="Q14" s="334">
        <f t="shared" si="18"/>
        <v>0</v>
      </c>
      <c r="R14" s="335"/>
      <c r="S14" s="341"/>
      <c r="T14" s="342"/>
      <c r="U14" s="342"/>
      <c r="V14" s="336"/>
      <c r="W14" s="472"/>
      <c r="X14" s="337"/>
      <c r="Y14">
        <f t="shared" si="19"/>
        <v>0</v>
      </c>
      <c r="Z14">
        <f t="shared" si="2"/>
        <v>0</v>
      </c>
      <c r="AA14" s="1">
        <f t="shared" si="3"/>
        <v>0</v>
      </c>
      <c r="AB14" s="1">
        <f t="shared" si="4"/>
        <v>0</v>
      </c>
      <c r="AC14" s="1">
        <f t="shared" si="5"/>
        <v>0</v>
      </c>
      <c r="AD14" s="1">
        <f t="shared" si="6"/>
        <v>0</v>
      </c>
      <c r="AE14" s="1">
        <f t="shared" si="7"/>
        <v>0</v>
      </c>
      <c r="AF14" s="1">
        <f>IF(C14="Orlov",7.4*Stamoplysninger!$E$15,0)</f>
        <v>0</v>
      </c>
      <c r="AG14">
        <f>IF(AND(C14="Skema 1",B14="ma"),Arbejdstidsoversigt!$E$44,"")</f>
        <v>0</v>
      </c>
      <c r="AH14" t="str">
        <f>IF(AND(C14="Skema 1",B14="ti"),Arbejdstidsoversigt!$E$45,"")</f>
        <v/>
      </c>
      <c r="AI14" t="str">
        <f>IF(AND(C14="Skema 1",B14="on"),Arbejdstidsoversigt!$E$46,"")</f>
        <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0</v>
      </c>
      <c r="BB14" s="233">
        <f t="shared" si="8"/>
        <v>0</v>
      </c>
      <c r="BC14" s="1">
        <f t="shared" si="21"/>
        <v>0</v>
      </c>
      <c r="BD14" s="1">
        <f t="shared" si="9"/>
        <v>0</v>
      </c>
      <c r="BE14" s="1">
        <f t="shared" si="10"/>
        <v>0</v>
      </c>
      <c r="BF14" s="1">
        <f t="shared" si="11"/>
        <v>0</v>
      </c>
      <c r="BG14" s="214">
        <f>IF(AND(C14="Skema 1",B14="ma"),Skemaoplysninger!$E$30,"")</f>
        <v>0</v>
      </c>
      <c r="BH14" s="214" t="str">
        <f>IF(AND(C14="Skema 1",B14="ti"),Skemaoplysninger!$F$30,"")</f>
        <v/>
      </c>
      <c r="BI14" s="214" t="str">
        <f>IF(AND(C14="Skema 1",B14="on"),Skemaoplysninger!$G$30,"")</f>
        <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2"/>
        <v>0</v>
      </c>
      <c r="CC14" s="1">
        <f t="shared" si="13"/>
        <v>0</v>
      </c>
      <c r="CD14" s="214">
        <f>IF(AND(C14="Skema 1",B14="ma"),Skemaoplysninger!$E$39,"")</f>
        <v>0</v>
      </c>
      <c r="CE14" s="214" t="str">
        <f>IF(AND(C14="Skema 1",B14="ti"),Skemaoplysninger!$F$39,"")</f>
        <v/>
      </c>
      <c r="CF14" s="214" t="str">
        <f>IF(AND(C14="Skema 1",B14="on"),Skemaoplysninger!$G$39,"")</f>
        <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4"/>
        <v/>
      </c>
      <c r="DL14" t="str">
        <f t="shared" si="14"/>
        <v/>
      </c>
      <c r="DM14" t="str">
        <f t="shared" si="14"/>
        <v/>
      </c>
      <c r="DN14" t="str">
        <f t="shared" si="27"/>
        <v/>
      </c>
    </row>
    <row r="15" spans="1:118" ht="16" customHeight="1">
      <c r="A15" s="249">
        <f t="shared" si="15"/>
        <v>7</v>
      </c>
      <c r="B15" s="132" t="str">
        <f t="shared" si="0"/>
        <v>ti</v>
      </c>
      <c r="C15" s="133" t="s">
        <v>209</v>
      </c>
      <c r="D15" s="134" t="str">
        <f t="shared" si="1"/>
        <v/>
      </c>
      <c r="E15" s="871"/>
      <c r="F15" s="872"/>
      <c r="G15" s="873"/>
      <c r="H15" s="313"/>
      <c r="I15" s="582"/>
      <c r="J15" s="440"/>
      <c r="K15" s="405"/>
      <c r="L15" s="405"/>
      <c r="M15" s="405"/>
      <c r="N15" s="334">
        <f t="shared" si="16"/>
        <v>0</v>
      </c>
      <c r="O15" s="334">
        <f t="shared" si="17"/>
        <v>0</v>
      </c>
      <c r="P15" s="334">
        <f>IF(Stamoplysninger!$H$29="JA",Maj!DG15,CX15)</f>
        <v>0</v>
      </c>
      <c r="Q15" s="334">
        <f t="shared" si="18"/>
        <v>0</v>
      </c>
      <c r="R15" s="335"/>
      <c r="S15" s="341"/>
      <c r="T15" s="342"/>
      <c r="U15" s="342"/>
      <c r="V15" s="336"/>
      <c r="W15" s="472"/>
      <c r="X15" s="337"/>
      <c r="Y15">
        <f t="shared" si="19"/>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1",B15="ma"),Arbejdstidsoversigt!$E$44,"")</f>
        <v/>
      </c>
      <c r="AH15">
        <f>IF(AND(C15="Skema 1",B15="ti"),Arbejdstidsoversigt!$E$45,"")</f>
        <v>0</v>
      </c>
      <c r="AI15" t="str">
        <f>IF(AND(C15="Skema 1",B15="on"),Arbejdstidsoversigt!$E$46,"")</f>
        <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8"/>
        <v>0</v>
      </c>
      <c r="BC15" s="1">
        <f t="shared" si="21"/>
        <v>0</v>
      </c>
      <c r="BD15" s="1">
        <f t="shared" si="9"/>
        <v>0</v>
      </c>
      <c r="BE15" s="1">
        <f t="shared" si="10"/>
        <v>0</v>
      </c>
      <c r="BF15" s="1">
        <f t="shared" si="11"/>
        <v>0</v>
      </c>
      <c r="BG15" s="214" t="str">
        <f>IF(AND(C15="Skema 1",B15="ma"),Skemaoplysninger!$E$30,"")</f>
        <v/>
      </c>
      <c r="BH15" s="214">
        <f>IF(AND(C15="Skema 1",B15="ti"),Skemaoplysninger!$F$30,"")</f>
        <v>0</v>
      </c>
      <c r="BI15" s="214" t="str">
        <f>IF(AND(C15="Skema 1",B15="on"),Skemaoplysninger!$G$30,"")</f>
        <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2"/>
        <v>0</v>
      </c>
      <c r="CC15" s="1">
        <f t="shared" si="13"/>
        <v>0</v>
      </c>
      <c r="CD15" s="214" t="str">
        <f>IF(AND(C15="Skema 1",B15="ma"),Skemaoplysninger!$E$39,"")</f>
        <v/>
      </c>
      <c r="CE15" s="214">
        <f>IF(AND(C15="Skema 1",B15="ti"),Skemaoplysninger!$F$39,"")</f>
        <v>0</v>
      </c>
      <c r="CF15" s="214" t="str">
        <f>IF(AND(C15="Skema 1",B15="on"),Skemaoplysninger!$G$39,"")</f>
        <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4"/>
        <v/>
      </c>
      <c r="DL15" t="str">
        <f t="shared" si="14"/>
        <v/>
      </c>
      <c r="DM15" t="str">
        <f t="shared" si="14"/>
        <v/>
      </c>
      <c r="DN15" t="str">
        <f t="shared" si="27"/>
        <v/>
      </c>
    </row>
    <row r="16" spans="1:118">
      <c r="A16" s="249">
        <f t="shared" si="15"/>
        <v>8</v>
      </c>
      <c r="B16" s="132" t="str">
        <f t="shared" si="0"/>
        <v>on</v>
      </c>
      <c r="C16" s="133" t="s">
        <v>209</v>
      </c>
      <c r="D16" s="134" t="str">
        <f t="shared" si="1"/>
        <v/>
      </c>
      <c r="E16" s="871"/>
      <c r="F16" s="872"/>
      <c r="G16" s="873"/>
      <c r="H16" s="313"/>
      <c r="I16" s="582"/>
      <c r="J16" s="440"/>
      <c r="K16" s="405"/>
      <c r="L16" s="405"/>
      <c r="M16" s="405"/>
      <c r="N16" s="334">
        <f t="shared" si="16"/>
        <v>0</v>
      </c>
      <c r="O16" s="334">
        <f t="shared" si="17"/>
        <v>0</v>
      </c>
      <c r="P16" s="334">
        <f>IF(Stamoplysninger!$H$29="JA",Maj!DG16,CX16)</f>
        <v>0</v>
      </c>
      <c r="Q16" s="334">
        <f t="shared" si="18"/>
        <v>0</v>
      </c>
      <c r="R16" s="335"/>
      <c r="S16" s="341"/>
      <c r="T16" s="342"/>
      <c r="U16" s="342"/>
      <c r="V16" s="336"/>
      <c r="W16" s="472"/>
      <c r="X16" s="337"/>
      <c r="Y16">
        <f t="shared" si="19"/>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1",B16="ma"),Arbejdstidsoversigt!$E$44,"")</f>
        <v/>
      </c>
      <c r="AH16" t="str">
        <f>IF(AND(C16="Skema 1",B16="ti"),Arbejdstidsoversigt!$E$45,"")</f>
        <v/>
      </c>
      <c r="AI16">
        <f>IF(AND(C16="Skema 1",B16="on"),Arbejdstidsoversigt!$E$46,"")</f>
        <v>0</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0</v>
      </c>
      <c r="BB16" s="233">
        <f t="shared" si="8"/>
        <v>0</v>
      </c>
      <c r="BC16" s="1">
        <f t="shared" si="21"/>
        <v>0</v>
      </c>
      <c r="BD16" s="1">
        <f t="shared" si="9"/>
        <v>0</v>
      </c>
      <c r="BE16" s="1">
        <f t="shared" si="10"/>
        <v>0</v>
      </c>
      <c r="BF16" s="1">
        <f t="shared" si="11"/>
        <v>0</v>
      </c>
      <c r="BG16" s="214" t="str">
        <f>IF(AND(C16="Skema 1",B16="ma"),Skemaoplysninger!$E$30,"")</f>
        <v/>
      </c>
      <c r="BH16" s="214" t="str">
        <f>IF(AND(C16="Skema 1",B16="ti"),Skemaoplysninger!$F$30,"")</f>
        <v/>
      </c>
      <c r="BI16" s="214">
        <f>IF(AND(C16="Skema 1",B16="on"),Skemaoplysninger!$G$30,"")</f>
        <v>0</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2"/>
        <v>0</v>
      </c>
      <c r="CC16" s="1">
        <f t="shared" si="13"/>
        <v>0</v>
      </c>
      <c r="CD16" s="214" t="str">
        <f>IF(AND(C16="Skema 1",B16="ma"),Skemaoplysninger!$E$39,"")</f>
        <v/>
      </c>
      <c r="CE16" s="214" t="str">
        <f>IF(AND(C16="Skema 1",B16="ti"),Skemaoplysninger!$F$39,"")</f>
        <v/>
      </c>
      <c r="CF16" s="214">
        <f>IF(AND(C16="Skema 1",B16="on"),Skemaoplysninger!$G$39,"")</f>
        <v>0</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4"/>
        <v/>
      </c>
      <c r="DL16" t="str">
        <f t="shared" si="14"/>
        <v/>
      </c>
      <c r="DM16" t="str">
        <f t="shared" si="14"/>
        <v/>
      </c>
      <c r="DN16" t="str">
        <f t="shared" si="27"/>
        <v/>
      </c>
    </row>
    <row r="17" spans="1:118">
      <c r="A17" s="249">
        <f t="shared" si="15"/>
        <v>9</v>
      </c>
      <c r="B17" s="132" t="str">
        <f t="shared" si="0"/>
        <v>to</v>
      </c>
      <c r="C17" s="133" t="s">
        <v>120</v>
      </c>
      <c r="D17" s="134" t="str">
        <f t="shared" si="1"/>
        <v/>
      </c>
      <c r="E17" s="871" t="s">
        <v>350</v>
      </c>
      <c r="F17" s="872"/>
      <c r="G17" s="873"/>
      <c r="H17" s="313"/>
      <c r="I17" s="440"/>
      <c r="J17" s="440"/>
      <c r="K17" s="405"/>
      <c r="L17" s="405"/>
      <c r="M17" s="405"/>
      <c r="N17" s="334">
        <f t="shared" si="16"/>
        <v>0</v>
      </c>
      <c r="O17" s="334">
        <f t="shared" si="17"/>
        <v>0</v>
      </c>
      <c r="P17" s="334">
        <f>IF(Stamoplysninger!$H$29="JA",Maj!DG17,CX17)</f>
        <v>0</v>
      </c>
      <c r="Q17" s="334">
        <f t="shared" si="18"/>
        <v>0</v>
      </c>
      <c r="R17" s="335"/>
      <c r="S17" s="341"/>
      <c r="T17" s="342"/>
      <c r="U17" s="342"/>
      <c r="V17" s="336"/>
      <c r="W17" s="472"/>
      <c r="X17" s="337"/>
      <c r="Y17">
        <f t="shared" si="19"/>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1",B17="ma"),Arbejdstidsoversigt!$E$44,"")</f>
        <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8"/>
        <v>0</v>
      </c>
      <c r="BC17" s="1">
        <f t="shared" si="21"/>
        <v>0</v>
      </c>
      <c r="BD17" s="1">
        <f t="shared" si="9"/>
        <v>0</v>
      </c>
      <c r="BE17" s="1">
        <f t="shared" si="10"/>
        <v>0</v>
      </c>
      <c r="BF17" s="1">
        <f t="shared" si="11"/>
        <v>0</v>
      </c>
      <c r="BG17" s="214" t="str">
        <f>IF(AND(C17="Skema 1",B17="ma"),Skemaoplysninger!$E$30,"")</f>
        <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2"/>
        <v>0</v>
      </c>
      <c r="CC17" s="1">
        <f t="shared" si="13"/>
        <v>0</v>
      </c>
      <c r="CD17" s="214" t="str">
        <f>IF(AND(C17="Skema 1",B17="ma"),Skemaoplysninger!$E$39,"")</f>
        <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t="str">
        <f t="shared" si="25"/>
        <v>Kr. himmelfartsdag</v>
      </c>
      <c r="DJ17" t="str">
        <f t="shared" si="26"/>
        <v/>
      </c>
      <c r="DK17" t="str">
        <f t="shared" si="14"/>
        <v/>
      </c>
      <c r="DL17" t="str">
        <f t="shared" si="14"/>
        <v>Kr. himmelfartsdag</v>
      </c>
      <c r="DM17" t="str">
        <f t="shared" si="14"/>
        <v/>
      </c>
      <c r="DN17" t="str">
        <f t="shared" si="27"/>
        <v>Kr. himmelfartsdag</v>
      </c>
    </row>
    <row r="18" spans="1:118">
      <c r="A18" s="249">
        <f t="shared" si="15"/>
        <v>10</v>
      </c>
      <c r="B18" s="132" t="str">
        <f t="shared" si="0"/>
        <v>fr</v>
      </c>
      <c r="C18" s="133" t="s">
        <v>129</v>
      </c>
      <c r="D18" s="134" t="str">
        <f t="shared" si="1"/>
        <v/>
      </c>
      <c r="E18" s="871"/>
      <c r="F18" s="872"/>
      <c r="G18" s="873"/>
      <c r="H18" s="313"/>
      <c r="I18" s="582"/>
      <c r="J18" s="440"/>
      <c r="K18" s="405"/>
      <c r="L18" s="405"/>
      <c r="M18" s="405"/>
      <c r="N18" s="334">
        <f t="shared" si="16"/>
        <v>0</v>
      </c>
      <c r="O18" s="334">
        <f t="shared" si="17"/>
        <v>0</v>
      </c>
      <c r="P18" s="334">
        <f>IF(Stamoplysninger!$H$29="JA",Maj!DG18,CX18)</f>
        <v>0</v>
      </c>
      <c r="Q18" s="334">
        <f t="shared" si="18"/>
        <v>0</v>
      </c>
      <c r="R18" s="335"/>
      <c r="S18" s="341"/>
      <c r="T18" s="342"/>
      <c r="U18" s="342"/>
      <c r="V18" s="336"/>
      <c r="W18" s="472"/>
      <c r="X18" s="337"/>
      <c r="Y18">
        <f t="shared" si="19"/>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1",B18="ma"),Arbejdstidsoversigt!$E$44,"")</f>
        <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8"/>
        <v>0</v>
      </c>
      <c r="BC18" s="1">
        <f t="shared" si="21"/>
        <v>0</v>
      </c>
      <c r="BD18" s="1">
        <f t="shared" si="9"/>
        <v>0</v>
      </c>
      <c r="BE18" s="1">
        <f t="shared" si="10"/>
        <v>0</v>
      </c>
      <c r="BF18" s="1">
        <f t="shared" si="11"/>
        <v>0</v>
      </c>
      <c r="BG18" s="214" t="str">
        <f>IF(AND(C18="Skema 1",B18="ma"),Skemaoplysninger!$E$30,"")</f>
        <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2"/>
        <v>0</v>
      </c>
      <c r="CC18" s="1">
        <f t="shared" si="13"/>
        <v>0</v>
      </c>
      <c r="CD18" s="214" t="str">
        <f>IF(AND(C18="Skema 1",B18="ma"),Skemaoplysninger!$E$39,"")</f>
        <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4"/>
        <v/>
      </c>
      <c r="DL18" t="str">
        <f t="shared" si="14"/>
        <v/>
      </c>
      <c r="DM18" t="str">
        <f t="shared" si="14"/>
        <v/>
      </c>
      <c r="DN18" t="str">
        <f t="shared" si="27"/>
        <v/>
      </c>
    </row>
    <row r="19" spans="1:118">
      <c r="A19" s="249">
        <f t="shared" si="15"/>
        <v>11</v>
      </c>
      <c r="B19" s="132" t="str">
        <f t="shared" si="0"/>
        <v>lø</v>
      </c>
      <c r="C19" s="133" t="s">
        <v>121</v>
      </c>
      <c r="D19" s="134" t="str">
        <f t="shared" si="1"/>
        <v/>
      </c>
      <c r="E19" s="871"/>
      <c r="F19" s="872"/>
      <c r="G19" s="873"/>
      <c r="H19" s="313"/>
      <c r="I19" s="440"/>
      <c r="J19" s="440"/>
      <c r="K19" s="405"/>
      <c r="L19" s="405"/>
      <c r="M19" s="405"/>
      <c r="N19" s="334">
        <f t="shared" si="16"/>
        <v>0</v>
      </c>
      <c r="O19" s="334">
        <f t="shared" si="17"/>
        <v>0</v>
      </c>
      <c r="P19" s="334">
        <f>IF(Stamoplysninger!$H$29="JA",Maj!DG19,CX19)</f>
        <v>0</v>
      </c>
      <c r="Q19" s="334">
        <f t="shared" si="18"/>
        <v>0</v>
      </c>
      <c r="R19" s="335"/>
      <c r="S19" s="341"/>
      <c r="T19" s="342"/>
      <c r="U19" s="342"/>
      <c r="V19" s="336"/>
      <c r="W19" s="472"/>
      <c r="X19" s="337"/>
      <c r="Y19">
        <f t="shared" si="19"/>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1",B19="ma"),Arbejdstidsoversigt!$E$44,"")</f>
        <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8"/>
        <v>0</v>
      </c>
      <c r="BC19" s="1">
        <f t="shared" si="21"/>
        <v>0</v>
      </c>
      <c r="BD19" s="1">
        <f t="shared" si="9"/>
        <v>0</v>
      </c>
      <c r="BE19" s="1">
        <f t="shared" si="10"/>
        <v>0</v>
      </c>
      <c r="BF19" s="1">
        <f t="shared" si="11"/>
        <v>0</v>
      </c>
      <c r="BG19" s="214" t="str">
        <f>IF(AND(C19="Skema 1",B19="ma"),Skemaoplysninger!$E$30,"")</f>
        <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2"/>
        <v>0</v>
      </c>
      <c r="CC19" s="1">
        <f t="shared" si="13"/>
        <v>0</v>
      </c>
      <c r="CD19" s="214" t="str">
        <f>IF(AND(C19="Skema 1",B19="ma"),Skemaoplysninger!$E$39,"")</f>
        <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4"/>
        <v/>
      </c>
      <c r="DL19" t="str">
        <f t="shared" si="14"/>
        <v/>
      </c>
      <c r="DM19" t="str">
        <f t="shared" si="14"/>
        <v/>
      </c>
      <c r="DN19" t="str">
        <f t="shared" si="27"/>
        <v/>
      </c>
    </row>
    <row r="20" spans="1:118">
      <c r="A20" s="249">
        <f>IF(ISNUMBER(A19),A19+1,1)</f>
        <v>12</v>
      </c>
      <c r="B20" s="132" t="str">
        <f t="shared" si="0"/>
        <v>sø</v>
      </c>
      <c r="C20" s="133" t="s">
        <v>121</v>
      </c>
      <c r="D20" s="134" t="str">
        <f t="shared" si="1"/>
        <v/>
      </c>
      <c r="E20" s="871"/>
      <c r="F20" s="872"/>
      <c r="G20" s="873"/>
      <c r="H20" s="313"/>
      <c r="I20" s="440"/>
      <c r="J20" s="440"/>
      <c r="K20" s="405"/>
      <c r="L20" s="405"/>
      <c r="M20" s="405"/>
      <c r="N20" s="334">
        <f t="shared" si="16"/>
        <v>0</v>
      </c>
      <c r="O20" s="334">
        <f t="shared" si="17"/>
        <v>0</v>
      </c>
      <c r="P20" s="334">
        <f>IF(Stamoplysninger!$H$29="JA",Maj!DG20,CX20)</f>
        <v>0</v>
      </c>
      <c r="Q20" s="334">
        <f t="shared" si="18"/>
        <v>0</v>
      </c>
      <c r="R20" s="335"/>
      <c r="S20" s="341"/>
      <c r="T20" s="342"/>
      <c r="U20" s="342"/>
      <c r="V20" s="336"/>
      <c r="W20" s="472"/>
      <c r="X20" s="337"/>
      <c r="Y20">
        <f t="shared" si="19"/>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1",B20="ma"),Arbejdstidsoversigt!$E$44,"")</f>
        <v/>
      </c>
      <c r="AH20" t="str">
        <f>IF(AND(C20="Skema 1",B20="ti"),Arbejdstidsoversigt!$E$45,"")</f>
        <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8"/>
        <v>0</v>
      </c>
      <c r="BC20" s="1">
        <f t="shared" si="21"/>
        <v>0</v>
      </c>
      <c r="BD20" s="1">
        <f t="shared" si="9"/>
        <v>0</v>
      </c>
      <c r="BE20" s="1">
        <f t="shared" si="10"/>
        <v>0</v>
      </c>
      <c r="BF20" s="1">
        <f t="shared" si="11"/>
        <v>0</v>
      </c>
      <c r="BG20" s="214" t="str">
        <f>IF(AND(C20="Skema 1",B20="ma"),Skemaoplysninger!$E$30,"")</f>
        <v/>
      </c>
      <c r="BH20" s="214" t="str">
        <f>IF(AND(C20="Skema 1",B20="ti"),Skemaoplysninger!$F$30,"")</f>
        <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2"/>
        <v>0</v>
      </c>
      <c r="CC20" s="1">
        <f t="shared" si="13"/>
        <v>0</v>
      </c>
      <c r="CD20" s="214" t="str">
        <f>IF(AND(C20="Skema 1",B20="ma"),Skemaoplysninger!$E$39,"")</f>
        <v/>
      </c>
      <c r="CE20" s="214" t="str">
        <f>IF(AND(C20="Skema 1",B20="ti"),Skemaoplysninger!$F$39,"")</f>
        <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f t="shared" si="25"/>
        <v>0</v>
      </c>
      <c r="DJ20">
        <f t="shared" si="26"/>
        <v>0</v>
      </c>
      <c r="DK20" t="str">
        <f t="shared" si="14"/>
        <v/>
      </c>
      <c r="DL20" t="str">
        <f t="shared" si="14"/>
        <v/>
      </c>
      <c r="DM20" t="str">
        <f t="shared" si="14"/>
        <v/>
      </c>
      <c r="DN20" t="str">
        <f t="shared" si="27"/>
        <v/>
      </c>
    </row>
    <row r="21" spans="1:118">
      <c r="A21" s="249">
        <f>IF(ISNUMBER(A20),A20+1,1)</f>
        <v>13</v>
      </c>
      <c r="B21" s="132" t="str">
        <f t="shared" si="0"/>
        <v>ma</v>
      </c>
      <c r="C21" s="133" t="s">
        <v>209</v>
      </c>
      <c r="D21" s="134">
        <f t="shared" si="1"/>
        <v>20</v>
      </c>
      <c r="E21" s="868"/>
      <c r="F21" s="869"/>
      <c r="G21" s="870"/>
      <c r="H21" s="312"/>
      <c r="I21" s="582"/>
      <c r="J21" s="440"/>
      <c r="K21" s="405"/>
      <c r="L21" s="405"/>
      <c r="M21" s="405"/>
      <c r="N21" s="334">
        <f t="shared" si="16"/>
        <v>0</v>
      </c>
      <c r="O21" s="334">
        <f t="shared" si="17"/>
        <v>0</v>
      </c>
      <c r="P21" s="334">
        <f>IF(Stamoplysninger!$H$29="JA",Maj!DG21,CX21)</f>
        <v>0</v>
      </c>
      <c r="Q21" s="334">
        <f t="shared" si="18"/>
        <v>0</v>
      </c>
      <c r="R21" s="335"/>
      <c r="S21" s="341"/>
      <c r="T21" s="342"/>
      <c r="U21" s="342"/>
      <c r="V21" s="336"/>
      <c r="W21" s="472"/>
      <c r="X21" s="337"/>
      <c r="Y21">
        <f t="shared" si="19"/>
        <v>0</v>
      </c>
      <c r="Z21">
        <f t="shared" si="2"/>
        <v>0</v>
      </c>
      <c r="AA21" s="1">
        <f t="shared" si="3"/>
        <v>0</v>
      </c>
      <c r="AB21" s="1">
        <f t="shared" si="4"/>
        <v>0</v>
      </c>
      <c r="AC21" s="1">
        <f t="shared" si="5"/>
        <v>0</v>
      </c>
      <c r="AD21" s="1">
        <f t="shared" si="6"/>
        <v>0</v>
      </c>
      <c r="AE21" s="1">
        <f t="shared" si="7"/>
        <v>0</v>
      </c>
      <c r="AF21" s="1">
        <f>IF(C21="Orlov",7.4*Stamoplysninger!$E$15,0)</f>
        <v>0</v>
      </c>
      <c r="AG21">
        <f>IF(AND(C21="Skema 1",B21="ma"),Arbejdstidsoversigt!$E$44,"")</f>
        <v>0</v>
      </c>
      <c r="AH21" t="str">
        <f>IF(AND(C21="Skema 1",B21="ti"),Arbejdstidsoversigt!$E$45,"")</f>
        <v/>
      </c>
      <c r="AI21" t="str">
        <f>IF(AND(C21="Skema 1",B21="on"),Arbejdstidsoversigt!$E$46,"")</f>
        <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8"/>
        <v>0</v>
      </c>
      <c r="BC21" s="1">
        <f t="shared" si="21"/>
        <v>0</v>
      </c>
      <c r="BD21" s="1">
        <f t="shared" si="9"/>
        <v>0</v>
      </c>
      <c r="BE21" s="1">
        <f t="shared" si="10"/>
        <v>0</v>
      </c>
      <c r="BF21" s="1">
        <f t="shared" si="11"/>
        <v>0</v>
      </c>
      <c r="BG21" s="214">
        <f>IF(AND(C21="Skema 1",B21="ma"),Skemaoplysninger!$E$30,"")</f>
        <v>0</v>
      </c>
      <c r="BH21" s="214" t="str">
        <f>IF(AND(C21="Skema 1",B21="ti"),Skemaoplysninger!$F$30,"")</f>
        <v/>
      </c>
      <c r="BI21" s="214" t="str">
        <f>IF(AND(C21="Skema 1",B21="on"),Skemaoplysninger!$G$30,"")</f>
        <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2"/>
        <v>0</v>
      </c>
      <c r="CC21" s="1">
        <f t="shared" si="13"/>
        <v>0</v>
      </c>
      <c r="CD21" s="214">
        <f>IF(AND(C21="Skema 1",B21="ma"),Skemaoplysninger!$E$39,"")</f>
        <v>0</v>
      </c>
      <c r="CE21" s="214" t="str">
        <f>IF(AND(C21="Skema 1",B21="ti"),Skemaoplysninger!$F$39,"")</f>
        <v/>
      </c>
      <c r="CF21" s="214" t="str">
        <f>IF(AND(C21="Skema 1",B21="on"),Skemaoplysninger!$G$39,"")</f>
        <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4"/>
        <v/>
      </c>
      <c r="DL21" t="str">
        <f t="shared" si="14"/>
        <v/>
      </c>
      <c r="DM21" t="str">
        <f t="shared" si="14"/>
        <v/>
      </c>
      <c r="DN21" t="str">
        <f t="shared" si="27"/>
        <v/>
      </c>
    </row>
    <row r="22" spans="1:118">
      <c r="A22" s="249">
        <f t="shared" si="15"/>
        <v>14</v>
      </c>
      <c r="B22" s="132" t="str">
        <f t="shared" si="0"/>
        <v>ti</v>
      </c>
      <c r="C22" s="133" t="s">
        <v>209</v>
      </c>
      <c r="D22" s="134" t="str">
        <f t="shared" si="1"/>
        <v/>
      </c>
      <c r="E22" s="868"/>
      <c r="F22" s="869"/>
      <c r="G22" s="870"/>
      <c r="H22" s="312"/>
      <c r="I22" s="582"/>
      <c r="J22" s="440"/>
      <c r="K22" s="405"/>
      <c r="L22" s="405"/>
      <c r="M22" s="405"/>
      <c r="N22" s="334">
        <f t="shared" si="16"/>
        <v>0</v>
      </c>
      <c r="O22" s="334">
        <f t="shared" si="17"/>
        <v>0</v>
      </c>
      <c r="P22" s="334">
        <f>IF(Stamoplysninger!$H$29="JA",Maj!DG22,CX22)</f>
        <v>0</v>
      </c>
      <c r="Q22" s="334">
        <f t="shared" si="18"/>
        <v>0</v>
      </c>
      <c r="R22" s="335"/>
      <c r="S22" s="341"/>
      <c r="T22" s="342"/>
      <c r="U22" s="342"/>
      <c r="V22" s="336"/>
      <c r="W22" s="472"/>
      <c r="X22" s="337"/>
      <c r="Y22">
        <f t="shared" si="19"/>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1",B22="ma"),Arbejdstidsoversigt!$E$44,"")</f>
        <v/>
      </c>
      <c r="AH22">
        <f>IF(AND(C22="Skema 1",B22="ti"),Arbejdstidsoversigt!$E$45,"")</f>
        <v>0</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8"/>
        <v>0</v>
      </c>
      <c r="BC22" s="1">
        <f t="shared" si="21"/>
        <v>0</v>
      </c>
      <c r="BD22" s="1">
        <f t="shared" si="9"/>
        <v>0</v>
      </c>
      <c r="BE22" s="1">
        <f t="shared" si="10"/>
        <v>0</v>
      </c>
      <c r="BF22" s="1">
        <f t="shared" si="11"/>
        <v>0</v>
      </c>
      <c r="BG22" s="214" t="str">
        <f>IF(AND(C22="Skema 1",B22="ma"),Skemaoplysninger!$E$30,"")</f>
        <v/>
      </c>
      <c r="BH22" s="214">
        <f>IF(AND(C22="Skema 1",B22="ti"),Skemaoplysninger!$F$30,"")</f>
        <v>0</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2"/>
        <v>0</v>
      </c>
      <c r="CC22" s="1">
        <f t="shared" si="13"/>
        <v>0</v>
      </c>
      <c r="CD22" s="214" t="str">
        <f>IF(AND(C22="Skema 1",B22="ma"),Skemaoplysninger!$E$39,"")</f>
        <v/>
      </c>
      <c r="CE22" s="214">
        <f>IF(AND(C22="Skema 1",B22="ti"),Skemaoplysninger!$F$39,"")</f>
        <v>0</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4"/>
        <v/>
      </c>
      <c r="DL22" t="str">
        <f t="shared" si="14"/>
        <v/>
      </c>
      <c r="DM22" t="str">
        <f t="shared" si="14"/>
        <v/>
      </c>
      <c r="DN22" t="str">
        <f t="shared" si="27"/>
        <v/>
      </c>
    </row>
    <row r="23" spans="1:118">
      <c r="A23" s="249">
        <f t="shared" si="15"/>
        <v>15</v>
      </c>
      <c r="B23" s="132" t="str">
        <f t="shared" si="0"/>
        <v>on</v>
      </c>
      <c r="C23" s="133" t="s">
        <v>209</v>
      </c>
      <c r="D23" s="134" t="str">
        <f t="shared" si="1"/>
        <v/>
      </c>
      <c r="E23" s="868"/>
      <c r="F23" s="869"/>
      <c r="G23" s="870"/>
      <c r="H23" s="312"/>
      <c r="I23" s="582"/>
      <c r="J23" s="440"/>
      <c r="K23" s="405"/>
      <c r="L23" s="405"/>
      <c r="M23" s="405"/>
      <c r="N23" s="334">
        <f t="shared" si="16"/>
        <v>0</v>
      </c>
      <c r="O23" s="334">
        <f t="shared" si="17"/>
        <v>0</v>
      </c>
      <c r="P23" s="334">
        <f>IF(Stamoplysninger!$H$29="JA",Maj!DG23,CX23)</f>
        <v>0</v>
      </c>
      <c r="Q23" s="334">
        <f t="shared" si="18"/>
        <v>0</v>
      </c>
      <c r="R23" s="335"/>
      <c r="S23" s="341"/>
      <c r="T23" s="342"/>
      <c r="U23" s="342"/>
      <c r="V23" s="336"/>
      <c r="W23" s="472"/>
      <c r="X23" s="337"/>
      <c r="Y23">
        <f t="shared" si="19"/>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1",B23="ma"),Arbejdstidsoversigt!$E$44,"")</f>
        <v/>
      </c>
      <c r="AH23" t="str">
        <f>IF(AND(C23="Skema 1",B23="ti"),Arbejdstidsoversigt!$E$45,"")</f>
        <v/>
      </c>
      <c r="AI23">
        <f>IF(AND(C23="Skema 1",B23="on"),Arbejdstidsoversigt!$E$46,"")</f>
        <v>0</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8"/>
        <v>0</v>
      </c>
      <c r="BC23" s="1">
        <f t="shared" si="21"/>
        <v>0</v>
      </c>
      <c r="BD23" s="1">
        <f t="shared" si="9"/>
        <v>0</v>
      </c>
      <c r="BE23" s="1">
        <f t="shared" si="10"/>
        <v>0</v>
      </c>
      <c r="BF23" s="1">
        <f t="shared" si="11"/>
        <v>0</v>
      </c>
      <c r="BG23" s="214" t="str">
        <f>IF(AND(C23="Skema 1",B23="ma"),Skemaoplysninger!$E$30,"")</f>
        <v/>
      </c>
      <c r="BH23" s="214" t="str">
        <f>IF(AND(C23="Skema 1",B23="ti"),Skemaoplysninger!$F$30,"")</f>
        <v/>
      </c>
      <c r="BI23" s="214">
        <f>IF(AND(C23="Skema 1",B23="on"),Skemaoplysninger!$G$30,"")</f>
        <v>0</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2"/>
        <v>0</v>
      </c>
      <c r="CC23" s="1">
        <f t="shared" si="13"/>
        <v>0</v>
      </c>
      <c r="CD23" s="214" t="str">
        <f>IF(AND(C23="Skema 1",B23="ma"),Skemaoplysninger!$E$39,"")</f>
        <v/>
      </c>
      <c r="CE23" s="214" t="str">
        <f>IF(AND(C23="Skema 1",B23="ti"),Skemaoplysninger!$F$39,"")</f>
        <v/>
      </c>
      <c r="CF23" s="214">
        <f>IF(AND(C23="Skema 1",B23="on"),Skemaoplysninger!$G$39,"")</f>
        <v>0</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4"/>
        <v/>
      </c>
      <c r="DL23" t="str">
        <f t="shared" si="14"/>
        <v/>
      </c>
      <c r="DM23" t="str">
        <f t="shared" si="14"/>
        <v/>
      </c>
      <c r="DN23" t="str">
        <f t="shared" si="27"/>
        <v/>
      </c>
    </row>
    <row r="24" spans="1:118">
      <c r="A24" s="249">
        <f>IF(ISNUMBER(A23),A23+1,1)</f>
        <v>16</v>
      </c>
      <c r="B24" s="132" t="str">
        <f t="shared" si="0"/>
        <v>to</v>
      </c>
      <c r="C24" s="133" t="s">
        <v>209</v>
      </c>
      <c r="D24" s="134" t="str">
        <f t="shared" si="1"/>
        <v/>
      </c>
      <c r="E24" s="871"/>
      <c r="F24" s="872"/>
      <c r="G24" s="873"/>
      <c r="H24" s="313"/>
      <c r="I24" s="582"/>
      <c r="J24" s="440"/>
      <c r="K24" s="405"/>
      <c r="L24" s="405"/>
      <c r="M24" s="405"/>
      <c r="N24" s="334">
        <f t="shared" si="16"/>
        <v>0</v>
      </c>
      <c r="O24" s="334">
        <f t="shared" si="17"/>
        <v>0</v>
      </c>
      <c r="P24" s="334">
        <f>IF(Stamoplysninger!$H$29="JA",Maj!DG24,CX24)</f>
        <v>0</v>
      </c>
      <c r="Q24" s="334">
        <f t="shared" si="18"/>
        <v>0</v>
      </c>
      <c r="R24" s="335"/>
      <c r="S24" s="341"/>
      <c r="T24" s="342"/>
      <c r="U24" s="342"/>
      <c r="V24" s="336"/>
      <c r="W24" s="472"/>
      <c r="X24" s="337"/>
      <c r="Y24">
        <f t="shared" si="19"/>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1",B24="ma"),Arbejdstidsoversigt!$E$44,"")</f>
        <v/>
      </c>
      <c r="AH24" t="str">
        <f>IF(AND(C24="Skema 1",B24="ti"),Arbejdstidsoversigt!$E$45,"")</f>
        <v/>
      </c>
      <c r="AI24" t="str">
        <f>IF(AND(C24="Skema 1",B24="on"),Arbejdstidsoversigt!$E$46,"")</f>
        <v/>
      </c>
      <c r="AJ24">
        <f>IF(AND(C24="Skema 1",B24="to"),Arbejdstidsoversigt!$E$47,"")</f>
        <v>0</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8"/>
        <v>0</v>
      </c>
      <c r="BC24" s="1">
        <f t="shared" si="21"/>
        <v>0</v>
      </c>
      <c r="BD24" s="1">
        <f t="shared" si="9"/>
        <v>0</v>
      </c>
      <c r="BE24" s="1">
        <f t="shared" si="10"/>
        <v>0</v>
      </c>
      <c r="BF24" s="1">
        <f t="shared" si="11"/>
        <v>0</v>
      </c>
      <c r="BG24" s="214" t="str">
        <f>IF(AND(C24="Skema 1",B24="ma"),Skemaoplysninger!$E$30,"")</f>
        <v/>
      </c>
      <c r="BH24" s="214" t="str">
        <f>IF(AND(C24="Skema 1",B24="ti"),Skemaoplysninger!$F$30,"")</f>
        <v/>
      </c>
      <c r="BI24" s="214" t="str">
        <f>IF(AND(C24="Skema 1",B24="on"),Skemaoplysninger!$G$30,"")</f>
        <v/>
      </c>
      <c r="BJ24" s="214">
        <f>IF(AND(C24="Skema 1",B24="to"),Skemaoplysninger!$H$30,"")</f>
        <v>0</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2"/>
        <v>0</v>
      </c>
      <c r="CC24" s="1">
        <f t="shared" si="13"/>
        <v>0</v>
      </c>
      <c r="CD24" s="214" t="str">
        <f>IF(AND(C24="Skema 1",B24="ma"),Skemaoplysninger!$E$39,"")</f>
        <v/>
      </c>
      <c r="CE24" s="214" t="str">
        <f>IF(AND(C24="Skema 1",B24="ti"),Skemaoplysninger!$F$39,"")</f>
        <v/>
      </c>
      <c r="CF24" s="214" t="str">
        <f>IF(AND(C24="Skema 1",B24="on"),Skemaoplysninger!$G$39,"")</f>
        <v/>
      </c>
      <c r="CG24" s="214">
        <f>IF(AND(C24="Skema 1",B24="to"),Skemaoplysninger!$H$39,"")</f>
        <v>0</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f t="shared" si="25"/>
        <v>0</v>
      </c>
      <c r="DJ24">
        <f t="shared" si="26"/>
        <v>0</v>
      </c>
      <c r="DK24" t="str">
        <f t="shared" si="14"/>
        <v/>
      </c>
      <c r="DL24" t="str">
        <f t="shared" si="14"/>
        <v/>
      </c>
      <c r="DM24" t="str">
        <f t="shared" si="14"/>
        <v/>
      </c>
      <c r="DN24" t="str">
        <f t="shared" si="27"/>
        <v/>
      </c>
    </row>
    <row r="25" spans="1:118">
      <c r="A25" s="249">
        <f t="shared" si="15"/>
        <v>17</v>
      </c>
      <c r="B25" s="132" t="str">
        <f t="shared" si="0"/>
        <v>fr</v>
      </c>
      <c r="C25" s="133" t="s">
        <v>209</v>
      </c>
      <c r="D25" s="134" t="str">
        <f t="shared" si="1"/>
        <v/>
      </c>
      <c r="E25" s="871"/>
      <c r="F25" s="872"/>
      <c r="G25" s="873"/>
      <c r="H25" s="313"/>
      <c r="I25" s="582"/>
      <c r="J25" s="440"/>
      <c r="K25" s="405"/>
      <c r="L25" s="405"/>
      <c r="M25" s="405"/>
      <c r="N25" s="334">
        <f t="shared" si="16"/>
        <v>0</v>
      </c>
      <c r="O25" s="334">
        <f t="shared" si="17"/>
        <v>0</v>
      </c>
      <c r="P25" s="334">
        <f>IF(Stamoplysninger!$H$29="JA",Maj!DG25,CX25)</f>
        <v>0</v>
      </c>
      <c r="Q25" s="334">
        <f t="shared" si="18"/>
        <v>0</v>
      </c>
      <c r="R25" s="335"/>
      <c r="S25" s="341"/>
      <c r="T25" s="342"/>
      <c r="U25" s="342"/>
      <c r="V25" s="336"/>
      <c r="W25" s="472"/>
      <c r="X25" s="337"/>
      <c r="Y25">
        <f t="shared" si="19"/>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f>IF(AND(C25="Skema 1",B25="fr"),Arbejdstidsoversigt!$E$48,"")</f>
        <v>0</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8"/>
        <v>0</v>
      </c>
      <c r="BC25" s="1">
        <f t="shared" si="21"/>
        <v>0</v>
      </c>
      <c r="BD25" s="1">
        <f t="shared" si="9"/>
        <v>0</v>
      </c>
      <c r="BE25" s="1">
        <f t="shared" si="10"/>
        <v>0</v>
      </c>
      <c r="BF25" s="1">
        <f t="shared" si="11"/>
        <v>0</v>
      </c>
      <c r="BG25" s="214" t="str">
        <f>IF(AND(C25="Skema 1",B25="ma"),Skemaoplysninger!$E$30,"")</f>
        <v/>
      </c>
      <c r="BH25" s="214" t="str">
        <f>IF(AND(C25="Skema 1",B25="ti"),Skemaoplysninger!$F$30,"")</f>
        <v/>
      </c>
      <c r="BI25" s="214" t="str">
        <f>IF(AND(C25="Skema 1",B25="on"),Skemaoplysninger!$G$30,"")</f>
        <v/>
      </c>
      <c r="BJ25" s="214" t="str">
        <f>IF(AND(C25="Skema 1",B25="to"),Skemaoplysninger!$H$30,"")</f>
        <v/>
      </c>
      <c r="BK25" s="214">
        <f>IF(AND(C25="Skema 1",B25="fr"),Skemaoplysninger!$I$30,"")</f>
        <v>0</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2"/>
        <v>0</v>
      </c>
      <c r="CC25" s="1">
        <f t="shared" si="13"/>
        <v>0</v>
      </c>
      <c r="CD25" s="214" t="str">
        <f>IF(AND(C25="Skema 1",B25="ma"),Skemaoplysninger!$E$39,"")</f>
        <v/>
      </c>
      <c r="CE25" s="214" t="str">
        <f>IF(AND(C25="Skema 1",B25="ti"),Skemaoplysninger!$F$39,"")</f>
        <v/>
      </c>
      <c r="CF25" s="214" t="str">
        <f>IF(AND(C25="Skema 1",B25="on"),Skemaoplysninger!$G$39,"")</f>
        <v/>
      </c>
      <c r="CG25" s="214" t="str">
        <f>IF(AND(C25="Skema 1",B25="to"),Skemaoplysninger!$H$39,"")</f>
        <v/>
      </c>
      <c r="CH25" s="214">
        <f>IF(AND(C25="Skema 1",B25="fr"),Skemaoplysninger!$I$39,"")</f>
        <v>0</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4"/>
        <v/>
      </c>
      <c r="DL25" t="str">
        <f t="shared" si="14"/>
        <v/>
      </c>
      <c r="DM25" t="str">
        <f t="shared" si="14"/>
        <v/>
      </c>
      <c r="DN25" t="str">
        <f t="shared" si="27"/>
        <v/>
      </c>
    </row>
    <row r="26" spans="1:118">
      <c r="A26" s="249">
        <f t="shared" si="15"/>
        <v>18</v>
      </c>
      <c r="B26" s="132" t="str">
        <f t="shared" si="0"/>
        <v>lø</v>
      </c>
      <c r="C26" s="133" t="s">
        <v>121</v>
      </c>
      <c r="D26" s="134" t="str">
        <f t="shared" si="1"/>
        <v/>
      </c>
      <c r="E26" s="871"/>
      <c r="F26" s="872"/>
      <c r="G26" s="873"/>
      <c r="H26" s="313"/>
      <c r="I26" s="440"/>
      <c r="J26" s="440"/>
      <c r="K26" s="405"/>
      <c r="L26" s="405"/>
      <c r="M26" s="405"/>
      <c r="N26" s="334">
        <f t="shared" si="16"/>
        <v>0</v>
      </c>
      <c r="O26" s="334">
        <f t="shared" si="17"/>
        <v>0</v>
      </c>
      <c r="P26" s="334">
        <f>IF(Stamoplysninger!$H$29="JA",Maj!DG26,CX26)</f>
        <v>0</v>
      </c>
      <c r="Q26" s="334">
        <f t="shared" si="18"/>
        <v>0</v>
      </c>
      <c r="R26" s="335"/>
      <c r="S26" s="341"/>
      <c r="T26" s="342"/>
      <c r="U26" s="342"/>
      <c r="V26" s="336"/>
      <c r="W26" s="472"/>
      <c r="X26" s="337"/>
      <c r="Y26">
        <f t="shared" si="19"/>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1",B26="ma"),Arbejdstidsoversigt!$E$44,"")</f>
        <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8"/>
        <v>0</v>
      </c>
      <c r="BC26" s="1">
        <f t="shared" si="21"/>
        <v>0</v>
      </c>
      <c r="BD26" s="1">
        <f t="shared" si="9"/>
        <v>0</v>
      </c>
      <c r="BE26" s="1">
        <f t="shared" si="10"/>
        <v>0</v>
      </c>
      <c r="BF26" s="1">
        <f t="shared" si="11"/>
        <v>0</v>
      </c>
      <c r="BG26" s="214" t="str">
        <f>IF(AND(C26="Skema 1",B26="ma"),Skemaoplysninger!$E$30,"")</f>
        <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2"/>
        <v>0</v>
      </c>
      <c r="CC26" s="1">
        <f t="shared" si="13"/>
        <v>0</v>
      </c>
      <c r="CD26" s="214" t="str">
        <f>IF(AND(C26="Skema 1",B26="ma"),Skemaoplysninger!$E$39,"")</f>
        <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4"/>
        <v/>
      </c>
      <c r="DL26" t="str">
        <f t="shared" si="14"/>
        <v/>
      </c>
      <c r="DM26" t="str">
        <f t="shared" si="14"/>
        <v/>
      </c>
      <c r="DN26" t="str">
        <f t="shared" si="27"/>
        <v/>
      </c>
    </row>
    <row r="27" spans="1:118">
      <c r="A27" s="249">
        <f t="shared" si="15"/>
        <v>19</v>
      </c>
      <c r="B27" s="132" t="str">
        <f t="shared" si="0"/>
        <v>sø</v>
      </c>
      <c r="C27" s="133" t="s">
        <v>121</v>
      </c>
      <c r="D27" s="134" t="str">
        <f t="shared" si="1"/>
        <v/>
      </c>
      <c r="E27" s="871" t="s">
        <v>180</v>
      </c>
      <c r="F27" s="872"/>
      <c r="G27" s="873"/>
      <c r="H27" s="313"/>
      <c r="I27" s="440"/>
      <c r="J27" s="440"/>
      <c r="K27" s="405"/>
      <c r="L27" s="405"/>
      <c r="M27" s="405"/>
      <c r="N27" s="334">
        <f t="shared" si="16"/>
        <v>0</v>
      </c>
      <c r="O27" s="334">
        <f t="shared" si="17"/>
        <v>0</v>
      </c>
      <c r="P27" s="334">
        <f>IF(Stamoplysninger!$H$29="JA",Maj!DG27,CX27)</f>
        <v>0</v>
      </c>
      <c r="Q27" s="334">
        <f t="shared" si="18"/>
        <v>0</v>
      </c>
      <c r="R27" s="335"/>
      <c r="S27" s="341"/>
      <c r="T27" s="342"/>
      <c r="U27" s="342"/>
      <c r="V27" s="336"/>
      <c r="W27" s="472"/>
      <c r="X27" s="337"/>
      <c r="Y27">
        <f t="shared" si="19"/>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1",B27="ma"),Arbejdstidsoversigt!$E$44,"")</f>
        <v/>
      </c>
      <c r="AH27" t="str">
        <f>IF(AND(C27="Skema 1",B27="ti"),Arbejdstidsoversigt!$E$45,"")</f>
        <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8"/>
        <v>0</v>
      </c>
      <c r="BC27" s="1">
        <f t="shared" si="21"/>
        <v>0</v>
      </c>
      <c r="BD27" s="1">
        <f t="shared" si="9"/>
        <v>0</v>
      </c>
      <c r="BE27" s="1">
        <f t="shared" si="10"/>
        <v>0</v>
      </c>
      <c r="BF27" s="1">
        <f t="shared" si="11"/>
        <v>0</v>
      </c>
      <c r="BG27" s="214" t="str">
        <f>IF(AND(C27="Skema 1",B27="ma"),Skemaoplysninger!$E$30,"")</f>
        <v/>
      </c>
      <c r="BH27" s="214" t="str">
        <f>IF(AND(C27="Skema 1",B27="ti"),Skemaoplysninger!$F$30,"")</f>
        <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2"/>
        <v>0</v>
      </c>
      <c r="CC27" s="1">
        <f t="shared" si="13"/>
        <v>0</v>
      </c>
      <c r="CD27" s="214" t="str">
        <f>IF(AND(C27="Skema 1",B27="ma"),Skemaoplysninger!$E$39,"")</f>
        <v/>
      </c>
      <c r="CE27" s="214" t="str">
        <f>IF(AND(C27="Skema 1",B27="ti"),Skemaoplysninger!$F$39,"")</f>
        <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t="str">
        <f t="shared" si="25"/>
        <v>Pinsedag</v>
      </c>
      <c r="DJ27" t="str">
        <f t="shared" si="26"/>
        <v/>
      </c>
      <c r="DK27" t="str">
        <f t="shared" si="14"/>
        <v/>
      </c>
      <c r="DL27" t="str">
        <f t="shared" si="14"/>
        <v>Pinsedag</v>
      </c>
      <c r="DM27" t="str">
        <f t="shared" si="14"/>
        <v/>
      </c>
      <c r="DN27" t="str">
        <f t="shared" si="27"/>
        <v>Pinsedag</v>
      </c>
    </row>
    <row r="28" spans="1:118">
      <c r="A28" s="249">
        <f t="shared" si="15"/>
        <v>20</v>
      </c>
      <c r="B28" s="132" t="str">
        <f t="shared" si="0"/>
        <v>ma</v>
      </c>
      <c r="C28" s="133" t="s">
        <v>120</v>
      </c>
      <c r="D28" s="134">
        <f t="shared" si="1"/>
        <v>21</v>
      </c>
      <c r="E28" s="871" t="s">
        <v>326</v>
      </c>
      <c r="F28" s="872"/>
      <c r="G28" s="873"/>
      <c r="H28" s="313"/>
      <c r="I28" s="440"/>
      <c r="J28" s="440"/>
      <c r="K28" s="405"/>
      <c r="L28" s="405"/>
      <c r="M28" s="405"/>
      <c r="N28" s="334">
        <f t="shared" si="16"/>
        <v>0</v>
      </c>
      <c r="O28" s="334">
        <f t="shared" si="17"/>
        <v>0</v>
      </c>
      <c r="P28" s="334">
        <f>IF(Stamoplysninger!$H$29="JA",Maj!DG28,CX28)</f>
        <v>0</v>
      </c>
      <c r="Q28" s="334">
        <f t="shared" si="18"/>
        <v>0</v>
      </c>
      <c r="R28" s="335"/>
      <c r="S28" s="341"/>
      <c r="T28" s="342"/>
      <c r="U28" s="342"/>
      <c r="V28" s="336"/>
      <c r="W28" s="472"/>
      <c r="X28" s="337"/>
      <c r="Y28">
        <f t="shared" si="19"/>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1",B28="ma"),Arbejdstidsoversigt!$E$44,"")</f>
        <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8"/>
        <v>0</v>
      </c>
      <c r="BC28" s="1">
        <f t="shared" si="21"/>
        <v>0</v>
      </c>
      <c r="BD28" s="1">
        <f t="shared" si="9"/>
        <v>0</v>
      </c>
      <c r="BE28" s="1">
        <f t="shared" si="10"/>
        <v>0</v>
      </c>
      <c r="BF28" s="1">
        <f t="shared" si="11"/>
        <v>0</v>
      </c>
      <c r="BG28" s="214" t="str">
        <f>IF(AND(C28="Skema 1",B28="ma"),Skemaoplysninger!$E$30,"")</f>
        <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2"/>
        <v>0</v>
      </c>
      <c r="CC28" s="1">
        <f t="shared" si="13"/>
        <v>0</v>
      </c>
      <c r="CD28" s="214" t="str">
        <f>IF(AND(C28="Skema 1",B28="ma"),Skemaoplysninger!$E$39,"")</f>
        <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t="str">
        <f t="shared" si="25"/>
        <v>2. pinsedag</v>
      </c>
      <c r="DJ28" t="str">
        <f t="shared" si="26"/>
        <v/>
      </c>
      <c r="DK28" t="str">
        <f t="shared" si="14"/>
        <v/>
      </c>
      <c r="DL28" t="str">
        <f t="shared" si="14"/>
        <v>2. pinsedag</v>
      </c>
      <c r="DM28" t="str">
        <f t="shared" si="14"/>
        <v/>
      </c>
      <c r="DN28" t="str">
        <f t="shared" si="27"/>
        <v>2. pinsedag</v>
      </c>
    </row>
    <row r="29" spans="1:118">
      <c r="A29" s="249">
        <f t="shared" si="15"/>
        <v>21</v>
      </c>
      <c r="B29" s="132" t="str">
        <f t="shared" si="0"/>
        <v>ti</v>
      </c>
      <c r="C29" s="133" t="s">
        <v>209</v>
      </c>
      <c r="D29" s="134" t="str">
        <f t="shared" si="1"/>
        <v/>
      </c>
      <c r="E29" s="871"/>
      <c r="F29" s="872"/>
      <c r="G29" s="873"/>
      <c r="H29" s="313"/>
      <c r="I29" s="582"/>
      <c r="J29" s="440"/>
      <c r="K29" s="405"/>
      <c r="L29" s="405"/>
      <c r="M29" s="405"/>
      <c r="N29" s="334">
        <f t="shared" si="16"/>
        <v>0</v>
      </c>
      <c r="O29" s="334">
        <f t="shared" si="17"/>
        <v>0</v>
      </c>
      <c r="P29" s="334">
        <f>IF(Stamoplysninger!$H$29="JA",Maj!DG29,CX29)</f>
        <v>0</v>
      </c>
      <c r="Q29" s="334">
        <f t="shared" si="18"/>
        <v>0</v>
      </c>
      <c r="R29" s="335"/>
      <c r="S29" s="341"/>
      <c r="T29" s="342"/>
      <c r="U29" s="342"/>
      <c r="V29" s="336"/>
      <c r="W29" s="472"/>
      <c r="X29" s="337"/>
      <c r="Y29">
        <f t="shared" si="19"/>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1",B29="ma"),Arbejdstidsoversigt!$E$44,"")</f>
        <v/>
      </c>
      <c r="AH29">
        <f>IF(AND(C29="Skema 1",B29="ti"),Arbejdstidsoversigt!$E$45,"")</f>
        <v>0</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8"/>
        <v>0</v>
      </c>
      <c r="BC29" s="1">
        <f t="shared" si="21"/>
        <v>0</v>
      </c>
      <c r="BD29" s="1">
        <f t="shared" si="9"/>
        <v>0</v>
      </c>
      <c r="BE29" s="1">
        <f t="shared" si="10"/>
        <v>0</v>
      </c>
      <c r="BF29" s="1">
        <f t="shared" si="11"/>
        <v>0</v>
      </c>
      <c r="BG29" s="214" t="str">
        <f>IF(AND(C29="Skema 1",B29="ma"),Skemaoplysninger!$E$30,"")</f>
        <v/>
      </c>
      <c r="BH29" s="214">
        <f>IF(AND(C29="Skema 1",B29="ti"),Skemaoplysninger!$F$30,"")</f>
        <v>0</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2"/>
        <v>0</v>
      </c>
      <c r="CC29" s="1">
        <f t="shared" si="13"/>
        <v>0</v>
      </c>
      <c r="CD29" s="214" t="str">
        <f>IF(AND(C29="Skema 1",B29="ma"),Skemaoplysninger!$E$39,"")</f>
        <v/>
      </c>
      <c r="CE29" s="214">
        <f>IF(AND(C29="Skema 1",B29="ti"),Skemaoplysninger!$F$39,"")</f>
        <v>0</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4"/>
        <v/>
      </c>
      <c r="DL29" t="str">
        <f t="shared" si="14"/>
        <v/>
      </c>
      <c r="DM29" t="str">
        <f t="shared" si="14"/>
        <v/>
      </c>
      <c r="DN29" t="str">
        <f t="shared" si="27"/>
        <v/>
      </c>
    </row>
    <row r="30" spans="1:118">
      <c r="A30" s="249">
        <f t="shared" si="15"/>
        <v>22</v>
      </c>
      <c r="B30" s="132" t="str">
        <f t="shared" si="0"/>
        <v>on</v>
      </c>
      <c r="C30" s="133" t="s">
        <v>209</v>
      </c>
      <c r="D30" s="134" t="str">
        <f t="shared" si="1"/>
        <v/>
      </c>
      <c r="E30" s="871"/>
      <c r="F30" s="872"/>
      <c r="G30" s="873"/>
      <c r="H30" s="313"/>
      <c r="I30" s="582"/>
      <c r="J30" s="440"/>
      <c r="K30" s="405"/>
      <c r="L30" s="405"/>
      <c r="M30" s="405"/>
      <c r="N30" s="334">
        <f t="shared" si="16"/>
        <v>0</v>
      </c>
      <c r="O30" s="334">
        <f t="shared" si="17"/>
        <v>0</v>
      </c>
      <c r="P30" s="334">
        <f>IF(Stamoplysninger!$H$29="JA",Maj!DG30,CX30)</f>
        <v>0</v>
      </c>
      <c r="Q30" s="334">
        <f t="shared" si="18"/>
        <v>0</v>
      </c>
      <c r="R30" s="335"/>
      <c r="S30" s="341"/>
      <c r="T30" s="342"/>
      <c r="U30" s="342"/>
      <c r="V30" s="336"/>
      <c r="W30" s="472"/>
      <c r="X30" s="337"/>
      <c r="Y30">
        <f t="shared" si="19"/>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1",B30="ma"),Arbejdstidsoversigt!$E$44,"")</f>
        <v/>
      </c>
      <c r="AH30" t="str">
        <f>IF(AND(C30="Skema 1",B30="ti"),Arbejdstidsoversigt!$E$45,"")</f>
        <v/>
      </c>
      <c r="AI30">
        <f>IF(AND(C30="Skema 1",B30="on"),Arbejdstidsoversigt!$E$46,"")</f>
        <v>0</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8"/>
        <v>0</v>
      </c>
      <c r="BC30" s="1">
        <f t="shared" si="21"/>
        <v>0</v>
      </c>
      <c r="BD30" s="1">
        <f t="shared" si="9"/>
        <v>0</v>
      </c>
      <c r="BE30" s="1">
        <f t="shared" si="10"/>
        <v>0</v>
      </c>
      <c r="BF30" s="1">
        <f t="shared" si="11"/>
        <v>0</v>
      </c>
      <c r="BG30" s="214" t="str">
        <f>IF(AND(C30="Skema 1",B30="ma"),Skemaoplysninger!$E$30,"")</f>
        <v/>
      </c>
      <c r="BH30" s="214" t="str">
        <f>IF(AND(C30="Skema 1",B30="ti"),Skemaoplysninger!$F$30,"")</f>
        <v/>
      </c>
      <c r="BI30" s="214">
        <f>IF(AND(C30="Skema 1",B30="on"),Skemaoplysninger!$G$30,"")</f>
        <v>0</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2"/>
        <v>0</v>
      </c>
      <c r="CC30" s="1">
        <f t="shared" si="13"/>
        <v>0</v>
      </c>
      <c r="CD30" s="214" t="str">
        <f>IF(AND(C30="Skema 1",B30="ma"),Skemaoplysninger!$E$39,"")</f>
        <v/>
      </c>
      <c r="CE30" s="214" t="str">
        <f>IF(AND(C30="Skema 1",B30="ti"),Skemaoplysninger!$F$39,"")</f>
        <v/>
      </c>
      <c r="CF30" s="214">
        <f>IF(AND(C30="Skema 1",B30="on"),Skemaoplysninger!$G$39,"")</f>
        <v>0</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4"/>
        <v/>
      </c>
      <c r="DL30" t="str">
        <f t="shared" si="14"/>
        <v/>
      </c>
      <c r="DM30" t="str">
        <f t="shared" si="14"/>
        <v/>
      </c>
      <c r="DN30" t="str">
        <f t="shared" si="27"/>
        <v/>
      </c>
    </row>
    <row r="31" spans="1:118">
      <c r="A31" s="249">
        <f t="shared" si="15"/>
        <v>23</v>
      </c>
      <c r="B31" s="132" t="str">
        <f t="shared" si="0"/>
        <v>to</v>
      </c>
      <c r="C31" s="133" t="s">
        <v>209</v>
      </c>
      <c r="D31" s="134" t="str">
        <f t="shared" si="1"/>
        <v/>
      </c>
      <c r="E31" s="871"/>
      <c r="F31" s="872"/>
      <c r="G31" s="873"/>
      <c r="H31" s="313"/>
      <c r="I31" s="582"/>
      <c r="J31" s="440"/>
      <c r="K31" s="405"/>
      <c r="L31" s="405"/>
      <c r="M31" s="405"/>
      <c r="N31" s="334">
        <f t="shared" si="16"/>
        <v>0</v>
      </c>
      <c r="O31" s="334">
        <f t="shared" si="17"/>
        <v>0</v>
      </c>
      <c r="P31" s="334">
        <f>IF(Stamoplysninger!$H$29="JA",Maj!DG31,CX31)</f>
        <v>0</v>
      </c>
      <c r="Q31" s="334">
        <f t="shared" si="18"/>
        <v>0</v>
      </c>
      <c r="R31" s="335"/>
      <c r="S31" s="341"/>
      <c r="T31" s="342"/>
      <c r="U31" s="342"/>
      <c r="V31" s="336"/>
      <c r="W31" s="472"/>
      <c r="X31" s="337"/>
      <c r="Y31">
        <f t="shared" si="19"/>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1",B31="ma"),Arbejdstidsoversigt!$E$44,"")</f>
        <v/>
      </c>
      <c r="AH31" t="str">
        <f>IF(AND(C31="Skema 1",B31="ti"),Arbejdstidsoversigt!$E$45,"")</f>
        <v/>
      </c>
      <c r="AI31" t="str">
        <f>IF(AND(C31="Skema 1",B31="on"),Arbejdstidsoversigt!$E$46,"")</f>
        <v/>
      </c>
      <c r="AJ31">
        <f>IF(AND(C31="Skema 1",B31="to"),Arbejdstidsoversigt!$E$47,"")</f>
        <v>0</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8"/>
        <v>0</v>
      </c>
      <c r="BC31" s="1">
        <f t="shared" si="21"/>
        <v>0</v>
      </c>
      <c r="BD31" s="1">
        <f t="shared" si="9"/>
        <v>0</v>
      </c>
      <c r="BE31" s="1">
        <f t="shared" si="10"/>
        <v>0</v>
      </c>
      <c r="BF31" s="1">
        <f t="shared" si="11"/>
        <v>0</v>
      </c>
      <c r="BG31" s="214" t="str">
        <f>IF(AND(C31="Skema 1",B31="ma"),Skemaoplysninger!$E$30,"")</f>
        <v/>
      </c>
      <c r="BH31" s="214" t="str">
        <f>IF(AND(C31="Skema 1",B31="ti"),Skemaoplysninger!$F$30,"")</f>
        <v/>
      </c>
      <c r="BI31" s="214" t="str">
        <f>IF(AND(C31="Skema 1",B31="on"),Skemaoplysninger!$G$30,"")</f>
        <v/>
      </c>
      <c r="BJ31" s="214">
        <f>IF(AND(C31="Skema 1",B31="to"),Skemaoplysninger!$H$30,"")</f>
        <v>0</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2"/>
        <v>0</v>
      </c>
      <c r="CC31" s="1">
        <f t="shared" si="13"/>
        <v>0</v>
      </c>
      <c r="CD31" s="214" t="str">
        <f>IF(AND(C31="Skema 1",B31="ma"),Skemaoplysninger!$E$39,"")</f>
        <v/>
      </c>
      <c r="CE31" s="214" t="str">
        <f>IF(AND(C31="Skema 1",B31="ti"),Skemaoplysninger!$F$39,"")</f>
        <v/>
      </c>
      <c r="CF31" s="214" t="str">
        <f>IF(AND(C31="Skema 1",B31="on"),Skemaoplysninger!$G$39,"")</f>
        <v/>
      </c>
      <c r="CG31" s="214">
        <f>IF(AND(C31="Skema 1",B31="to"),Skemaoplysninger!$H$39,"")</f>
        <v>0</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4"/>
        <v/>
      </c>
      <c r="DL31" t="str">
        <f t="shared" si="14"/>
        <v/>
      </c>
      <c r="DM31" t="str">
        <f t="shared" si="14"/>
        <v/>
      </c>
      <c r="DN31" t="str">
        <f t="shared" si="27"/>
        <v/>
      </c>
    </row>
    <row r="32" spans="1:118">
      <c r="A32" s="249">
        <f t="shared" si="15"/>
        <v>24</v>
      </c>
      <c r="B32" s="132" t="str">
        <f t="shared" si="0"/>
        <v>fr</v>
      </c>
      <c r="C32" s="133" t="s">
        <v>209</v>
      </c>
      <c r="D32" s="134" t="str">
        <f t="shared" si="1"/>
        <v/>
      </c>
      <c r="E32" s="868"/>
      <c r="F32" s="869"/>
      <c r="G32" s="870"/>
      <c r="H32" s="313"/>
      <c r="I32" s="582"/>
      <c r="J32" s="440"/>
      <c r="K32" s="405"/>
      <c r="L32" s="405"/>
      <c r="M32" s="405"/>
      <c r="N32" s="334">
        <f t="shared" si="16"/>
        <v>0</v>
      </c>
      <c r="O32" s="334">
        <f t="shared" si="17"/>
        <v>0</v>
      </c>
      <c r="P32" s="334">
        <f>IF(Stamoplysninger!$H$29="JA",Maj!DG32,CX32)</f>
        <v>0</v>
      </c>
      <c r="Q32" s="334">
        <f t="shared" si="18"/>
        <v>0</v>
      </c>
      <c r="R32" s="335"/>
      <c r="S32" s="341"/>
      <c r="T32" s="342"/>
      <c r="U32" s="342"/>
      <c r="V32" s="336"/>
      <c r="W32" s="472"/>
      <c r="X32" s="337"/>
      <c r="Y32">
        <f t="shared" si="19"/>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1",B32="ma"),Arbejdstidsoversigt!$E$44,"")</f>
        <v/>
      </c>
      <c r="AH32" t="str">
        <f>IF(AND(C32="Skema 1",B32="ti"),Arbejdstidsoversigt!$E$45,"")</f>
        <v/>
      </c>
      <c r="AI32" t="str">
        <f>IF(AND(C32="Skema 1",B32="on"),Arbejdstidsoversigt!$E$46,"")</f>
        <v/>
      </c>
      <c r="AJ32" t="str">
        <f>IF(AND(C32="Skema 1",B32="to"),Arbejdstidsoversigt!$E$47,"")</f>
        <v/>
      </c>
      <c r="AK32">
        <f>IF(AND(C32="Skema 1",B32="fr"),Arbejdstidsoversigt!$E$48,"")</f>
        <v>0</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8"/>
        <v>0</v>
      </c>
      <c r="BC32" s="1">
        <f t="shared" si="21"/>
        <v>0</v>
      </c>
      <c r="BD32" s="1">
        <f t="shared" si="9"/>
        <v>0</v>
      </c>
      <c r="BE32" s="1">
        <f t="shared" si="10"/>
        <v>0</v>
      </c>
      <c r="BF32" s="1">
        <f t="shared" si="11"/>
        <v>0</v>
      </c>
      <c r="BG32" s="214" t="str">
        <f>IF(AND(C32="Skema 1",B32="ma"),Skemaoplysninger!$E$30,"")</f>
        <v/>
      </c>
      <c r="BH32" s="214" t="str">
        <f>IF(AND(C32="Skema 1",B32="ti"),Skemaoplysninger!$F$30,"")</f>
        <v/>
      </c>
      <c r="BI32" s="214" t="str">
        <f>IF(AND(C32="Skema 1",B32="on"),Skemaoplysninger!$G$30,"")</f>
        <v/>
      </c>
      <c r="BJ32" s="214" t="str">
        <f>IF(AND(C32="Skema 1",B32="to"),Skemaoplysninger!$H$30,"")</f>
        <v/>
      </c>
      <c r="BK32" s="214">
        <f>IF(AND(C32="Skema 1",B32="fr"),Skemaoplysninger!$I$30,"")</f>
        <v>0</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2"/>
        <v>0</v>
      </c>
      <c r="CC32" s="1">
        <f t="shared" si="13"/>
        <v>0</v>
      </c>
      <c r="CD32" s="214" t="str">
        <f>IF(AND(C32="Skema 1",B32="ma"),Skemaoplysninger!$E$39,"")</f>
        <v/>
      </c>
      <c r="CE32" s="214" t="str">
        <f>IF(AND(C32="Skema 1",B32="ti"),Skemaoplysninger!$F$39,"")</f>
        <v/>
      </c>
      <c r="CF32" s="214" t="str">
        <f>IF(AND(C32="Skema 1",B32="on"),Skemaoplysninger!$G$39,"")</f>
        <v/>
      </c>
      <c r="CG32" s="214" t="str">
        <f>IF(AND(C32="Skema 1",B32="to"),Skemaoplysninger!$H$39,"")</f>
        <v/>
      </c>
      <c r="CH32" s="214">
        <f>IF(AND(C32="Skema 1",B32="fr"),Skemaoplysninger!$I$39,"")</f>
        <v>0</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f t="shared" si="25"/>
        <v>0</v>
      </c>
      <c r="DJ32">
        <f t="shared" si="26"/>
        <v>0</v>
      </c>
      <c r="DK32" t="str">
        <f t="shared" si="14"/>
        <v/>
      </c>
      <c r="DL32" t="str">
        <f t="shared" si="14"/>
        <v/>
      </c>
      <c r="DM32" t="str">
        <f t="shared" si="14"/>
        <v/>
      </c>
      <c r="DN32" t="str">
        <f t="shared" si="27"/>
        <v/>
      </c>
    </row>
    <row r="33" spans="1:118">
      <c r="A33" s="249">
        <f t="shared" si="15"/>
        <v>25</v>
      </c>
      <c r="B33" s="132" t="str">
        <f t="shared" si="0"/>
        <v>lø</v>
      </c>
      <c r="C33" s="133" t="s">
        <v>121</v>
      </c>
      <c r="D33" s="134" t="str">
        <f t="shared" si="1"/>
        <v/>
      </c>
      <c r="E33" s="871"/>
      <c r="F33" s="872"/>
      <c r="G33" s="873"/>
      <c r="H33" s="313"/>
      <c r="I33" s="440"/>
      <c r="J33" s="440"/>
      <c r="K33" s="405"/>
      <c r="L33" s="405"/>
      <c r="M33" s="405"/>
      <c r="N33" s="334">
        <f t="shared" si="16"/>
        <v>0</v>
      </c>
      <c r="O33" s="334">
        <f t="shared" si="17"/>
        <v>0</v>
      </c>
      <c r="P33" s="334">
        <f>IF(Stamoplysninger!$H$29="JA",Maj!DG33,CX33)</f>
        <v>0</v>
      </c>
      <c r="Q33" s="334">
        <f t="shared" si="18"/>
        <v>0</v>
      </c>
      <c r="R33" s="335"/>
      <c r="S33" s="341"/>
      <c r="T33" s="342"/>
      <c r="U33" s="342"/>
      <c r="V33" s="336"/>
      <c r="W33" s="472"/>
      <c r="X33" s="337"/>
      <c r="Y33">
        <f t="shared" si="19"/>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1",B33="ma"),Arbejdstidsoversigt!$E$44,"")</f>
        <v/>
      </c>
      <c r="AH33" t="str">
        <f>IF(AND(C33="Skema 1",B33="ti"),Arbejdstidsoversigt!$E$45,"")</f>
        <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8"/>
        <v>0</v>
      </c>
      <c r="BC33" s="1">
        <f t="shared" si="21"/>
        <v>0</v>
      </c>
      <c r="BD33" s="1">
        <f t="shared" si="9"/>
        <v>0</v>
      </c>
      <c r="BE33" s="1">
        <f t="shared" si="10"/>
        <v>0</v>
      </c>
      <c r="BF33" s="1">
        <f t="shared" si="11"/>
        <v>0</v>
      </c>
      <c r="BG33" s="214" t="str">
        <f>IF(AND(C33="Skema 1",B33="ma"),Skemaoplysninger!$E$30,"")</f>
        <v/>
      </c>
      <c r="BH33" s="214" t="str">
        <f>IF(AND(C33="Skema 1",B33="ti"),Skemaoplysninger!$F$30,"")</f>
        <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2"/>
        <v>0</v>
      </c>
      <c r="CC33" s="1">
        <f t="shared" si="13"/>
        <v>0</v>
      </c>
      <c r="CD33" s="214" t="str">
        <f>IF(AND(C33="Skema 1",B33="ma"),Skemaoplysninger!$E$39,"")</f>
        <v/>
      </c>
      <c r="CE33" s="214" t="str">
        <f>IF(AND(C33="Skema 1",B33="ti"),Skemaoplysninger!$F$39,"")</f>
        <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4"/>
        <v/>
      </c>
      <c r="DL33" t="str">
        <f t="shared" si="14"/>
        <v/>
      </c>
      <c r="DM33" t="str">
        <f t="shared" si="14"/>
        <v/>
      </c>
      <c r="DN33" t="str">
        <f t="shared" si="27"/>
        <v/>
      </c>
    </row>
    <row r="34" spans="1:118">
      <c r="A34" s="249">
        <f t="shared" si="15"/>
        <v>26</v>
      </c>
      <c r="B34" s="132" t="str">
        <f t="shared" si="0"/>
        <v>sø</v>
      </c>
      <c r="C34" s="133" t="s">
        <v>121</v>
      </c>
      <c r="D34" s="134" t="str">
        <f t="shared" si="1"/>
        <v/>
      </c>
      <c r="E34" s="871"/>
      <c r="F34" s="872"/>
      <c r="G34" s="873"/>
      <c r="H34" s="313"/>
      <c r="I34" s="440"/>
      <c r="J34" s="440"/>
      <c r="K34" s="405"/>
      <c r="L34" s="405"/>
      <c r="M34" s="405"/>
      <c r="N34" s="334">
        <f t="shared" si="16"/>
        <v>0</v>
      </c>
      <c r="O34" s="334">
        <f t="shared" si="17"/>
        <v>0</v>
      </c>
      <c r="P34" s="334">
        <f>IF(Stamoplysninger!$H$29="JA",Maj!DG34,CX34)</f>
        <v>0</v>
      </c>
      <c r="Q34" s="334">
        <f t="shared" si="18"/>
        <v>0</v>
      </c>
      <c r="R34" s="335"/>
      <c r="S34" s="341"/>
      <c r="T34" s="342"/>
      <c r="U34" s="342"/>
      <c r="V34" s="336"/>
      <c r="W34" s="472"/>
      <c r="X34" s="337"/>
      <c r="Y34">
        <f t="shared" si="19"/>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1",B34="ma"),Arbejdstidsoversigt!$E$44,"")</f>
        <v/>
      </c>
      <c r="AH34" t="str">
        <f>IF(AND(C34="Skema 1",B34="ti"),Arbejdstidsoversigt!$E$45,"")</f>
        <v/>
      </c>
      <c r="AI34" t="str">
        <f>IF(AND(C34="Skema 1",B34="on"),Arbejdstidsoversigt!$E$46,"")</f>
        <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8"/>
        <v>0</v>
      </c>
      <c r="BC34" s="1">
        <f t="shared" si="21"/>
        <v>0</v>
      </c>
      <c r="BD34" s="1">
        <f t="shared" si="9"/>
        <v>0</v>
      </c>
      <c r="BE34" s="1">
        <f t="shared" si="10"/>
        <v>0</v>
      </c>
      <c r="BF34" s="1">
        <f t="shared" si="11"/>
        <v>0</v>
      </c>
      <c r="BG34" s="214" t="str">
        <f>IF(AND(C34="Skema 1",B34="ma"),Skemaoplysninger!$E$30,"")</f>
        <v/>
      </c>
      <c r="BH34" s="214" t="str">
        <f>IF(AND(C34="Skema 1",B34="ti"),Skemaoplysninger!$F$30,"")</f>
        <v/>
      </c>
      <c r="BI34" s="214" t="str">
        <f>IF(AND(C34="Skema 1",B34="on"),Skemaoplysninger!$G$30,"")</f>
        <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2"/>
        <v>0</v>
      </c>
      <c r="CC34" s="1">
        <f t="shared" si="13"/>
        <v>0</v>
      </c>
      <c r="CD34" s="214" t="str">
        <f>IF(AND(C34="Skema 1",B34="ma"),Skemaoplysninger!$E$39,"")</f>
        <v/>
      </c>
      <c r="CE34" s="214" t="str">
        <f>IF(AND(C34="Skema 1",B34="ti"),Skemaoplysninger!$F$39,"")</f>
        <v/>
      </c>
      <c r="CF34" s="214" t="str">
        <f>IF(AND(C34="Skema 1",B34="on"),Skemaoplysninger!$G$39,"")</f>
        <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4"/>
        <v/>
      </c>
      <c r="DL34" t="str">
        <f t="shared" si="14"/>
        <v/>
      </c>
      <c r="DM34" t="str">
        <f t="shared" si="14"/>
        <v/>
      </c>
      <c r="DN34" t="str">
        <f t="shared" si="27"/>
        <v/>
      </c>
    </row>
    <row r="35" spans="1:118">
      <c r="A35" s="249">
        <f t="shared" si="15"/>
        <v>27</v>
      </c>
      <c r="B35" s="132" t="str">
        <f t="shared" si="0"/>
        <v>ma</v>
      </c>
      <c r="C35" s="133" t="s">
        <v>209</v>
      </c>
      <c r="D35" s="134">
        <f t="shared" si="1"/>
        <v>22</v>
      </c>
      <c r="E35" s="871"/>
      <c r="F35" s="872"/>
      <c r="G35" s="873"/>
      <c r="H35" s="313"/>
      <c r="I35" s="582"/>
      <c r="J35" s="440"/>
      <c r="K35" s="405"/>
      <c r="L35" s="405"/>
      <c r="M35" s="405"/>
      <c r="N35" s="334">
        <f t="shared" si="16"/>
        <v>0</v>
      </c>
      <c r="O35" s="334">
        <f t="shared" si="17"/>
        <v>0</v>
      </c>
      <c r="P35" s="334">
        <f>IF(Stamoplysninger!$H$29="JA",Maj!DG35,CX35)</f>
        <v>0</v>
      </c>
      <c r="Q35" s="334">
        <f t="shared" si="18"/>
        <v>0</v>
      </c>
      <c r="R35" s="335"/>
      <c r="S35" s="341"/>
      <c r="T35" s="342"/>
      <c r="U35" s="342"/>
      <c r="V35" s="336"/>
      <c r="W35" s="472"/>
      <c r="X35" s="337"/>
      <c r="Y35">
        <f t="shared" si="19"/>
        <v>0</v>
      </c>
      <c r="Z35">
        <f t="shared" si="2"/>
        <v>0</v>
      </c>
      <c r="AA35" s="1">
        <f t="shared" si="3"/>
        <v>0</v>
      </c>
      <c r="AB35" s="1">
        <f t="shared" si="4"/>
        <v>0</v>
      </c>
      <c r="AC35" s="1">
        <f t="shared" si="5"/>
        <v>0</v>
      </c>
      <c r="AD35" s="1">
        <f t="shared" si="6"/>
        <v>0</v>
      </c>
      <c r="AE35" s="1">
        <f t="shared" si="7"/>
        <v>0</v>
      </c>
      <c r="AF35" s="1">
        <f>IF(C35="Orlov",7.4*Stamoplysninger!$E$15,0)</f>
        <v>0</v>
      </c>
      <c r="AG35">
        <f>IF(AND(C35="Skema 1",B35="ma"),Arbejdstidsoversigt!$E$44,"")</f>
        <v>0</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0</v>
      </c>
      <c r="BB35" s="233">
        <f t="shared" si="8"/>
        <v>0</v>
      </c>
      <c r="BC35" s="1">
        <f t="shared" si="21"/>
        <v>0</v>
      </c>
      <c r="BD35" s="1">
        <f t="shared" si="9"/>
        <v>0</v>
      </c>
      <c r="BE35" s="1">
        <f t="shared" si="10"/>
        <v>0</v>
      </c>
      <c r="BF35" s="1">
        <f t="shared" si="11"/>
        <v>0</v>
      </c>
      <c r="BG35" s="214">
        <f>IF(AND(C35="Skema 1",B35="ma"),Skemaoplysninger!$E$30,"")</f>
        <v>0</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2"/>
        <v>0</v>
      </c>
      <c r="CC35" s="1">
        <f t="shared" si="13"/>
        <v>0</v>
      </c>
      <c r="CD35" s="214">
        <f>IF(AND(C35="Skema 1",B35="ma"),Skemaoplysninger!$E$39,"")</f>
        <v>0</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4"/>
        <v/>
      </c>
      <c r="DL35" t="str">
        <f t="shared" si="14"/>
        <v/>
      </c>
      <c r="DM35" t="str">
        <f t="shared" si="14"/>
        <v/>
      </c>
      <c r="DN35" t="str">
        <f t="shared" si="27"/>
        <v/>
      </c>
    </row>
    <row r="36" spans="1:118">
      <c r="A36" s="249">
        <f t="shared" si="15"/>
        <v>28</v>
      </c>
      <c r="B36" s="132" t="str">
        <f t="shared" si="0"/>
        <v>ti</v>
      </c>
      <c r="C36" s="133" t="s">
        <v>209</v>
      </c>
      <c r="D36" s="134" t="str">
        <f t="shared" si="1"/>
        <v/>
      </c>
      <c r="E36" s="871"/>
      <c r="F36" s="872"/>
      <c r="G36" s="873"/>
      <c r="H36" s="313"/>
      <c r="I36" s="582"/>
      <c r="J36" s="440"/>
      <c r="K36" s="405"/>
      <c r="L36" s="405"/>
      <c r="M36" s="405"/>
      <c r="N36" s="334">
        <f t="shared" si="16"/>
        <v>0</v>
      </c>
      <c r="O36" s="334">
        <f t="shared" si="17"/>
        <v>0</v>
      </c>
      <c r="P36" s="334">
        <f>IF(Stamoplysninger!$H$29="JA",Maj!DG36,CX36)</f>
        <v>0</v>
      </c>
      <c r="Q36" s="334">
        <f t="shared" si="18"/>
        <v>0</v>
      </c>
      <c r="R36" s="335"/>
      <c r="S36" s="341"/>
      <c r="T36" s="342"/>
      <c r="U36" s="342"/>
      <c r="V36" s="336"/>
      <c r="W36" s="472"/>
      <c r="X36" s="337"/>
      <c r="Y36">
        <f t="shared" si="19"/>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1",B36="ma"),Arbejdstidsoversigt!$E$44,"")</f>
        <v/>
      </c>
      <c r="AH36">
        <f>IF(AND(C36="Skema 1",B36="ti"),Arbejdstidsoversigt!$E$45,"")</f>
        <v>0</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8"/>
        <v>0</v>
      </c>
      <c r="BC36" s="1">
        <f t="shared" si="21"/>
        <v>0</v>
      </c>
      <c r="BD36" s="1">
        <f t="shared" si="9"/>
        <v>0</v>
      </c>
      <c r="BE36" s="1">
        <f t="shared" si="10"/>
        <v>0</v>
      </c>
      <c r="BF36" s="1">
        <f t="shared" si="11"/>
        <v>0</v>
      </c>
      <c r="BG36" s="214" t="str">
        <f>IF(AND(C36="Skema 1",B36="ma"),Skemaoplysninger!$E$30,"")</f>
        <v/>
      </c>
      <c r="BH36" s="214">
        <f>IF(AND(C36="Skema 1",B36="ti"),Skemaoplysninger!$F$30,"")</f>
        <v>0</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2"/>
        <v>0</v>
      </c>
      <c r="CC36" s="1">
        <f t="shared" si="13"/>
        <v>0</v>
      </c>
      <c r="CD36" s="214" t="str">
        <f>IF(AND(C36="Skema 1",B36="ma"),Skemaoplysninger!$E$39,"")</f>
        <v/>
      </c>
      <c r="CE36" s="214">
        <f>IF(AND(C36="Skema 1",B36="ti"),Skemaoplysninger!$F$39,"")</f>
        <v>0</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4"/>
        <v/>
      </c>
      <c r="DL36" t="str">
        <f t="shared" si="14"/>
        <v/>
      </c>
      <c r="DM36" t="str">
        <f t="shared" si="14"/>
        <v/>
      </c>
      <c r="DN36" t="str">
        <f t="shared" si="27"/>
        <v/>
      </c>
    </row>
    <row r="37" spans="1:118">
      <c r="A37" s="249">
        <f>IF(ISNUMBER(A36),A36+1,1)</f>
        <v>29</v>
      </c>
      <c r="B37" s="132" t="str">
        <f t="shared" si="0"/>
        <v>on</v>
      </c>
      <c r="C37" s="133" t="s">
        <v>209</v>
      </c>
      <c r="D37" s="134" t="str">
        <f t="shared" si="1"/>
        <v/>
      </c>
      <c r="E37" s="871"/>
      <c r="F37" s="872"/>
      <c r="G37" s="873"/>
      <c r="H37" s="313"/>
      <c r="I37" s="582"/>
      <c r="J37" s="440"/>
      <c r="K37" s="405"/>
      <c r="L37" s="405"/>
      <c r="M37" s="405"/>
      <c r="N37" s="334">
        <f t="shared" si="16"/>
        <v>0</v>
      </c>
      <c r="O37" s="334">
        <f t="shared" si="17"/>
        <v>0</v>
      </c>
      <c r="P37" s="334">
        <f>IF(Stamoplysninger!$H$29="JA",Maj!DG37,CX37)</f>
        <v>0</v>
      </c>
      <c r="Q37" s="334">
        <f t="shared" si="18"/>
        <v>0</v>
      </c>
      <c r="R37" s="335"/>
      <c r="S37" s="341"/>
      <c r="T37" s="342"/>
      <c r="U37" s="342"/>
      <c r="V37" s="336"/>
      <c r="W37" s="472"/>
      <c r="X37" s="337"/>
      <c r="Y37">
        <f t="shared" si="19"/>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1",B37="ma"),Arbejdstidsoversigt!$E$44,"")</f>
        <v/>
      </c>
      <c r="AH37" t="str">
        <f>IF(AND(C37="Skema 1",B37="ti"),Arbejdstidsoversigt!$E$45,"")</f>
        <v/>
      </c>
      <c r="AI37">
        <f>IF(AND(C37="Skema 1",B37="on"),Arbejdstidsoversigt!$E$46,"")</f>
        <v>0</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0</v>
      </c>
      <c r="BB37" s="233">
        <f t="shared" si="8"/>
        <v>0</v>
      </c>
      <c r="BC37" s="1">
        <f t="shared" si="21"/>
        <v>0</v>
      </c>
      <c r="BD37" s="1">
        <f t="shared" si="9"/>
        <v>0</v>
      </c>
      <c r="BE37" s="1">
        <f t="shared" si="10"/>
        <v>0</v>
      </c>
      <c r="BF37" s="1">
        <f t="shared" si="11"/>
        <v>0</v>
      </c>
      <c r="BG37" s="214" t="str">
        <f>IF(AND(C37="Skema 1",B37="ma"),Skemaoplysninger!$E$30,"")</f>
        <v/>
      </c>
      <c r="BH37" s="214" t="str">
        <f>IF(AND(C37="Skema 1",B37="ti"),Skemaoplysninger!$F$30,"")</f>
        <v/>
      </c>
      <c r="BI37" s="214">
        <f>IF(AND(C37="Skema 1",B37="on"),Skemaoplysninger!$G$30,"")</f>
        <v>0</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2"/>
        <v>0</v>
      </c>
      <c r="CC37" s="1">
        <f t="shared" si="13"/>
        <v>0</v>
      </c>
      <c r="CD37" s="214" t="str">
        <f>IF(AND(C37="Skema 1",B37="ma"),Skemaoplysninger!$E$39,"")</f>
        <v/>
      </c>
      <c r="CE37" s="214" t="str">
        <f>IF(AND(C37="Skema 1",B37="ti"),Skemaoplysninger!$F$39,"")</f>
        <v/>
      </c>
      <c r="CF37" s="214">
        <f>IF(AND(C37="Skema 1",B37="on"),Skemaoplysninger!$G$39,"")</f>
        <v>0</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4"/>
        <v/>
      </c>
      <c r="DL37" t="str">
        <f t="shared" si="14"/>
        <v/>
      </c>
      <c r="DM37" t="str">
        <f t="shared" si="14"/>
        <v/>
      </c>
      <c r="DN37" t="str">
        <f t="shared" si="27"/>
        <v/>
      </c>
    </row>
    <row r="38" spans="1:118">
      <c r="A38" s="249">
        <f t="shared" si="15"/>
        <v>30</v>
      </c>
      <c r="B38" s="132" t="str">
        <f t="shared" si="0"/>
        <v>to</v>
      </c>
      <c r="C38" s="133" t="s">
        <v>209</v>
      </c>
      <c r="D38" s="134" t="str">
        <f t="shared" si="1"/>
        <v/>
      </c>
      <c r="E38" s="871"/>
      <c r="F38" s="872"/>
      <c r="G38" s="873"/>
      <c r="H38" s="313"/>
      <c r="I38" s="582"/>
      <c r="J38" s="440"/>
      <c r="K38" s="405"/>
      <c r="L38" s="405"/>
      <c r="M38" s="405"/>
      <c r="N38" s="334">
        <f t="shared" si="16"/>
        <v>0</v>
      </c>
      <c r="O38" s="334">
        <f t="shared" si="17"/>
        <v>0</v>
      </c>
      <c r="P38" s="334">
        <f>IF(Stamoplysninger!$H$29="JA",Maj!DG38,CX38)</f>
        <v>0</v>
      </c>
      <c r="Q38" s="334">
        <f t="shared" si="18"/>
        <v>0</v>
      </c>
      <c r="R38" s="335"/>
      <c r="S38" s="341"/>
      <c r="T38" s="342"/>
      <c r="U38" s="471"/>
      <c r="V38" s="336"/>
      <c r="W38" s="472"/>
      <c r="X38" s="337"/>
      <c r="Y38">
        <f t="shared" si="19"/>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1",B38="ma"),Arbejdstidsoversigt!$E$44,"")</f>
        <v/>
      </c>
      <c r="AH38" t="str">
        <f>IF(AND(C38="Skema 1",B38="ti"),Arbejdstidsoversigt!$E$45,"")</f>
        <v/>
      </c>
      <c r="AI38" t="str">
        <f>IF(AND(C38="Skema 1",B38="on"),Arbejdstidsoversigt!$E$46,"")</f>
        <v/>
      </c>
      <c r="AJ38">
        <f>IF(AND(C38="Skema 1",B38="to"),Arbejdstidsoversigt!$E$47,"")</f>
        <v>0</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0</v>
      </c>
      <c r="BB38" s="233">
        <f t="shared" si="8"/>
        <v>0</v>
      </c>
      <c r="BC38" s="1">
        <f t="shared" si="21"/>
        <v>0</v>
      </c>
      <c r="BD38" s="1">
        <f t="shared" si="9"/>
        <v>0</v>
      </c>
      <c r="BE38" s="1">
        <f t="shared" si="10"/>
        <v>0</v>
      </c>
      <c r="BF38" s="1">
        <f t="shared" si="11"/>
        <v>0</v>
      </c>
      <c r="BG38" s="214" t="str">
        <f>IF(AND(C38="Skema 1",B38="ma"),Skemaoplysninger!$E$30,"")</f>
        <v/>
      </c>
      <c r="BH38" s="214" t="str">
        <f>IF(AND(C38="Skema 1",B38="ti"),Skemaoplysninger!$F$30,"")</f>
        <v/>
      </c>
      <c r="BI38" s="214" t="str">
        <f>IF(AND(C38="Skema 1",B38="on"),Skemaoplysninger!$G$30,"")</f>
        <v/>
      </c>
      <c r="BJ38" s="214">
        <f>IF(AND(C38="Skema 1",B38="to"),Skemaoplysninger!$H$30,"")</f>
        <v>0</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3",B38="ti"),Skemaoplysninger!$Z$30,"")</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2"/>
        <v>0</v>
      </c>
      <c r="CC38" s="1">
        <f t="shared" si="13"/>
        <v>0</v>
      </c>
      <c r="CD38" s="214" t="str">
        <f>IF(AND(C38="Skema 1",B38="ma"),Skemaoplysninger!$E$39,"")</f>
        <v/>
      </c>
      <c r="CE38" s="214" t="str">
        <f>IF(AND(C38="Skema 1",B38="ti"),Skemaoplysninger!$F$39,"")</f>
        <v/>
      </c>
      <c r="CF38" s="214" t="str">
        <f>IF(AND(C38="Skema 1",B38="on"),Skemaoplysninger!$G$39,"")</f>
        <v/>
      </c>
      <c r="CG38" s="214">
        <f>IF(AND(C38="Skema 1",B38="to"),Skemaoplysninger!$H$39,"")</f>
        <v>0</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4"/>
        <v/>
      </c>
      <c r="DL38" t="str">
        <f t="shared" si="14"/>
        <v/>
      </c>
      <c r="DM38" t="str">
        <f t="shared" si="14"/>
        <v/>
      </c>
      <c r="DN38" t="str">
        <f t="shared" si="27"/>
        <v/>
      </c>
    </row>
    <row r="39" spans="1:118">
      <c r="A39" s="249">
        <f>IF(ISNUMBER(A38),A38+1,1)</f>
        <v>31</v>
      </c>
      <c r="B39" s="132" t="str">
        <f t="shared" si="0"/>
        <v>fr</v>
      </c>
      <c r="C39" s="133" t="s">
        <v>209</v>
      </c>
      <c r="D39" s="134" t="str">
        <f t="shared" si="1"/>
        <v/>
      </c>
      <c r="E39" s="868"/>
      <c r="F39" s="869"/>
      <c r="G39" s="870"/>
      <c r="H39" s="312"/>
      <c r="I39" s="582"/>
      <c r="J39" s="440"/>
      <c r="K39" s="405"/>
      <c r="L39" s="405"/>
      <c r="M39" s="405"/>
      <c r="N39" s="334">
        <f t="shared" si="16"/>
        <v>0</v>
      </c>
      <c r="O39" s="334">
        <f t="shared" si="17"/>
        <v>0</v>
      </c>
      <c r="P39" s="334">
        <f>IF(Stamoplysninger!$H$29="JA",Maj!DG39,CX39)</f>
        <v>0</v>
      </c>
      <c r="Q39" s="334">
        <f t="shared" si="18"/>
        <v>0</v>
      </c>
      <c r="R39" s="335"/>
      <c r="S39" s="341"/>
      <c r="T39" s="342"/>
      <c r="U39" s="218"/>
      <c r="V39" s="336"/>
      <c r="W39" s="472"/>
      <c r="X39" s="473"/>
      <c r="Y39">
        <f t="shared" si="19"/>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1",B39="ma"),Arbejdstidsoversigt!$E$44,"")</f>
        <v/>
      </c>
      <c r="AH39" t="str">
        <f>IF(AND(C39="Skema 1",B39="ti"),Arbejdstidsoversigt!$E$45,"")</f>
        <v/>
      </c>
      <c r="AI39" t="str">
        <f>IF(AND(C39="Skema 1",B39="on"),Arbejdstidsoversigt!$E$46,"")</f>
        <v/>
      </c>
      <c r="AJ39" t="str">
        <f>IF(AND(C39="Skema 1",B39="to"),Arbejdstidsoversigt!$E$47,"")</f>
        <v/>
      </c>
      <c r="AK39">
        <f>IF(AND(C39="Skema 1",B39="fr"),Arbejdstidsoversigt!$E$48,"")</f>
        <v>0</v>
      </c>
      <c r="AL39" t="str">
        <f>IF(AND(C39="Skema 2",B39="ma"),Arbejdstidsoversigt!$E$53,"")</f>
        <v/>
      </c>
      <c r="AM39" t="str">
        <f>IF(AND(C39="Skema 2",B39="ti"),Arbejdstidsoversigt!$E$54,"")</f>
        <v/>
      </c>
      <c r="AN39" t="str">
        <f>IF(AND(C39="Skema 2",B39="on"),Arbejdstidsoversigt!$E$55,"")</f>
        <v/>
      </c>
      <c r="AO39" t="str">
        <f>IF(AND(C39="Skema 2",B39="to"),Arbejdstidsoversigt!$E$56,"")</f>
        <v/>
      </c>
      <c r="AP39" t="str">
        <f>IF(AND(C39="Skema 2",B39="fr"),Arbejdstidsoversigt!$E$57,"")</f>
        <v/>
      </c>
      <c r="AQ39" t="str">
        <f>IF(AND(C39="Skema 3",B39="ma"),Arbejdstidsoversigt!$E$62,"")</f>
        <v/>
      </c>
      <c r="AR39" t="str">
        <f>IF(AND(C39="Skema 3",B39="ti"),Arbejdstidsoversigt!$E$63,"")</f>
        <v/>
      </c>
      <c r="AS39" t="str">
        <f>IF(AND(C39="Skema 3",B39="on"),Arbejdstidsoversigt!$E$64,"")</f>
        <v/>
      </c>
      <c r="AT39" t="str">
        <f>IF(AND(C39="Skema 3",B39="to"),Arbejdstidsoversigt!$E$65,"")</f>
        <v/>
      </c>
      <c r="AU39" t="str">
        <f>IF(AND(C39="Skema 3",B39="fr"),Arbejdstidsoversigt!$E$66,"")</f>
        <v/>
      </c>
      <c r="AV39" t="str">
        <f>IF(AND(C39="Skema 4",B39="ma"),Arbejdstidsoversigt!$E$71,"")</f>
        <v/>
      </c>
      <c r="AW39" t="str">
        <f>IF(AND(C39="Skema 4",B39="ti"),Arbejdstidsoversigt!$E$72,"")</f>
        <v/>
      </c>
      <c r="AX39" t="str">
        <f>IF(AND(C39="Skema 4",B39="on"),Arbejdstidsoversigt!$E$73,"")</f>
        <v/>
      </c>
      <c r="AY39" t="str">
        <f>IF(AND(C39="Skema 4",B39="to"),Arbejdstidsoversigt!$E$74,"")</f>
        <v/>
      </c>
      <c r="AZ39" t="str">
        <f>IF(AND(C39="Skema 4",B39="fr"),Arbejdstidsoversigt!$E$75,"")</f>
        <v/>
      </c>
      <c r="BA39" s="1">
        <f t="shared" si="20"/>
        <v>0</v>
      </c>
      <c r="BB39" s="233">
        <f t="shared" si="8"/>
        <v>0</v>
      </c>
      <c r="BC39" s="1">
        <f t="shared" si="21"/>
        <v>0</v>
      </c>
      <c r="BD39" s="1">
        <f t="shared" si="9"/>
        <v>0</v>
      </c>
      <c r="BE39" s="1">
        <f t="shared" si="10"/>
        <v>0</v>
      </c>
      <c r="BF39" s="1">
        <f t="shared" si="11"/>
        <v>0</v>
      </c>
      <c r="BG39" s="214" t="str">
        <f>IF(AND(C39="Skema 1",B39="ma"),Skemaoplysninger!$E$30,"")</f>
        <v/>
      </c>
      <c r="BH39" s="214" t="str">
        <f>IF(AND(C39="Skema 1",B39="ti"),Skemaoplysninger!$F$30,"")</f>
        <v/>
      </c>
      <c r="BI39" s="214" t="str">
        <f>IF(AND(C39="Skema 1",B39="on"),Skemaoplysninger!$G$30,"")</f>
        <v/>
      </c>
      <c r="BJ39" s="214" t="str">
        <f>IF(AND(C39="Skema 1",B39="to"),Skemaoplysninger!$H$30,"")</f>
        <v/>
      </c>
      <c r="BK39" s="214">
        <f>IF(AND(C39="Skema 1",B39="fr"),Skemaoplysninger!$I$30,"")</f>
        <v>0</v>
      </c>
      <c r="BL39" s="214" t="str">
        <f>IF(AND(C39="Skema 2",B39="ma"),Skemaoplysninger!$O$30,"")</f>
        <v/>
      </c>
      <c r="BM39" s="214" t="str">
        <f>IF(AND(C39="Skema 2",B39="ti"),Skemaoplysninger!$P$30,"")</f>
        <v/>
      </c>
      <c r="BN39" s="214" t="str">
        <f>IF(AND(C39="Skema 2",B39="on"),Skemaoplysninger!$Q$30,"")</f>
        <v/>
      </c>
      <c r="BO39" s="214" t="str">
        <f>IF(AND(C39="Skema 2",B39="to"),Skemaoplysninger!$R$30,"")</f>
        <v/>
      </c>
      <c r="BP39" s="214" t="str">
        <f>IF(AND(C39="Skema 2",B39="fr"),Skemaoplysninger!$S$30,"")</f>
        <v/>
      </c>
      <c r="BQ39" s="214" t="str">
        <f>IF(AND(C39="Skema 3",B39="ma"),Skemaoplysninger!$Y$30,"")</f>
        <v/>
      </c>
      <c r="BR39" s="214" t="str">
        <f>IF(AND(C39="Skema 3",B39="ti"),Skemaoplysninger!$Z$30,"")</f>
        <v/>
      </c>
      <c r="BS39" s="214" t="str">
        <f>IF(AND(C39="Skema 3",B39="on"),Skemaoplysninger!$AA$30,"")</f>
        <v/>
      </c>
      <c r="BT39" s="214" t="str">
        <f>IF(AND(C39="Skema 3",B39="to"),Skemaoplysninger!$AB$30,"")</f>
        <v/>
      </c>
      <c r="BU39" s="214" t="str">
        <f>IF(AND(C39="Skema 3",B39="fr"),Skemaoplysninger!$AC$30,"")</f>
        <v/>
      </c>
      <c r="BV39" s="214" t="str">
        <f>IF(AND(C39="Skema 4",B39="ma"),Skemaoplysninger!$AI$30,"")</f>
        <v/>
      </c>
      <c r="BW39" s="214" t="str">
        <f>IF(AND(C39="Skema 4",B39="ti"),Skemaoplysninger!$AJ$30,"")</f>
        <v/>
      </c>
      <c r="BX39" s="214" t="str">
        <f>IF(AND(C39="Skema 4",B39="on"),Skemaoplysninger!$AK$30,"")</f>
        <v/>
      </c>
      <c r="BY39" s="214" t="str">
        <f>IF(AND(C39="Skema 4",B39="to"),Skemaoplysninger!$AL$30,"")</f>
        <v/>
      </c>
      <c r="BZ39" s="214" t="str">
        <f>IF(AND(C39="Skema 4",B39="fr"),Skemaoplysninger!$AM$30,"")</f>
        <v/>
      </c>
      <c r="CA39" s="1">
        <f t="shared" si="22"/>
        <v>0</v>
      </c>
      <c r="CB39" s="1">
        <f t="shared" si="12"/>
        <v>0</v>
      </c>
      <c r="CC39" s="1">
        <f t="shared" si="13"/>
        <v>0</v>
      </c>
      <c r="CD39" s="214" t="str">
        <f>IF(AND(C39="Skema 1",B39="ma"),Skemaoplysninger!$E$39,"")</f>
        <v/>
      </c>
      <c r="CE39" s="214" t="str">
        <f>IF(AND(C39="Skema 1",B39="ti"),Skemaoplysninger!$F$39,"")</f>
        <v/>
      </c>
      <c r="CF39" s="214" t="str">
        <f>IF(AND(C39="Skema 1",B39="on"),Skemaoplysninger!$G$39,"")</f>
        <v/>
      </c>
      <c r="CG39" s="214" t="str">
        <f>IF(AND(C39="Skema 1",B39="to"),Skemaoplysninger!$H$39,"")</f>
        <v/>
      </c>
      <c r="CH39" s="214">
        <f>IF(AND(C39="Skema 1",B39="fr"),Skemaoplysninger!$I$39,"")</f>
        <v>0</v>
      </c>
      <c r="CI39" s="214" t="str">
        <f>IF(AND(C39="Skema 2",B39="ma"),Skemaoplysninger!$O$39,"")</f>
        <v/>
      </c>
      <c r="CJ39" s="214" t="str">
        <f>IF(AND(C39="Skema 2",B39="ti"),Skemaoplysninger!$P$39,"")</f>
        <v/>
      </c>
      <c r="CK39" s="214" t="str">
        <f>IF(AND(C39="Skema 2",B39="on"),Skemaoplysninger!$Q$39,"")</f>
        <v/>
      </c>
      <c r="CL39" s="214" t="str">
        <f>IF(AND(C39="Skema 2",B39="to"),Skemaoplysninger!$R$39,"")</f>
        <v/>
      </c>
      <c r="CM39" s="214" t="str">
        <f>IF(AND(C39="Skema 2",B39="fr"),Skemaoplysninger!$S$39,"")</f>
        <v/>
      </c>
      <c r="CN39" s="214" t="str">
        <f>IF(AND(C39="Skema 3",B39="ma"),Skemaoplysninger!$Y$39,"")</f>
        <v/>
      </c>
      <c r="CO39" s="214" t="str">
        <f>IF(AND(C39="Skema 3",B39="ti"),Skemaoplysninger!$Z$39,"")</f>
        <v/>
      </c>
      <c r="CP39" s="214" t="str">
        <f>IF(AND(C39="Skema 3",B39="on"),Skemaoplysninger!$AA$39,"")</f>
        <v/>
      </c>
      <c r="CQ39" s="214" t="str">
        <f>IF(AND(C39="Skema 3",B39="to"),Skemaoplysninger!$AB$39,"")</f>
        <v/>
      </c>
      <c r="CR39" s="214" t="str">
        <f>IF(AND(C39="Skema 3",B39="fr"),Skemaoplysninger!$AC$39,"")</f>
        <v/>
      </c>
      <c r="CS39" s="214" t="str">
        <f>IF(AND(C39="Skema 4",B39="ma"),Skemaoplysninger!$AI$39,"")</f>
        <v/>
      </c>
      <c r="CT39" s="214" t="str">
        <f>IF(AND(C39="Skema 4",B39="ti"),Skemaoplysninger!$AJ$39,"")</f>
        <v/>
      </c>
      <c r="CU39" s="214" t="str">
        <f>IF(AND(C39="Skema 4",B39="on"),Skemaoplysninger!$AK$39,"")</f>
        <v/>
      </c>
      <c r="CV39" s="214" t="str">
        <f>IF(AND(C39="Skema 4",B39="to"),Skemaoplysninger!$AL$39,"")</f>
        <v/>
      </c>
      <c r="CW39" s="214" t="str">
        <f>IF(AND(C39="Skema 4",B39="fr"),Skemaoplysninger!$AM$39,"")</f>
        <v/>
      </c>
      <c r="CX39" s="254">
        <f>IF(Stamoplysninger!$H$29="NEJ",SUM(CB39:CW39),0)</f>
        <v>0</v>
      </c>
      <c r="CY39" s="254">
        <f>IF(C39="Skema 1",Stamoplysninger!$H$30/200,0)</f>
        <v>0</v>
      </c>
      <c r="CZ39" s="254">
        <f>IF(C39="Skema 2",Stamoplysninger!$H$30/200,0)</f>
        <v>0</v>
      </c>
      <c r="DA39" s="254">
        <f>IF(C39="Skema 3",Stamoplysninger!$H$30/200,0)</f>
        <v>0</v>
      </c>
      <c r="DB39" s="254">
        <f>IF(C39="Skema 4",Stamoplysninger!$H$30/200,0)</f>
        <v>0</v>
      </c>
      <c r="DC39" s="254">
        <f>IF(C39="fagdag",Stamoplysninger!$H$30/200,0)</f>
        <v>0</v>
      </c>
      <c r="DD39" s="254">
        <f>IF(C39="emnedag",Stamoplysninger!$H$30/200,0)</f>
        <v>0</v>
      </c>
      <c r="DE39" s="254">
        <f>IF(C39="lejrskole",Stamoplysninger!$H$30/200,0)</f>
        <v>0</v>
      </c>
      <c r="DF39" s="254">
        <f>IF(C39="ekskursion",Stamoplysninger!$H$30/200,0)</f>
        <v>0</v>
      </c>
      <c r="DG39" s="254">
        <f t="shared" si="23"/>
        <v>0</v>
      </c>
      <c r="DH39" t="str">
        <f t="shared" si="24"/>
        <v/>
      </c>
      <c r="DI39">
        <f t="shared" si="25"/>
        <v>0</v>
      </c>
      <c r="DJ39">
        <f t="shared" si="26"/>
        <v>0</v>
      </c>
      <c r="DK39" t="str">
        <f t="shared" ref="DK39:DM39" si="28">IF(DH39=0,"",DH39)</f>
        <v/>
      </c>
      <c r="DL39" t="str">
        <f t="shared" si="28"/>
        <v/>
      </c>
      <c r="DM39" t="str">
        <f t="shared" si="28"/>
        <v/>
      </c>
      <c r="DN39" t="str">
        <f t="shared" si="27"/>
        <v/>
      </c>
    </row>
    <row r="40" spans="1:118" ht="17" thickBot="1">
      <c r="A40" s="889" t="s">
        <v>263</v>
      </c>
      <c r="B40" s="890"/>
      <c r="C40" s="890"/>
      <c r="D40" s="890"/>
      <c r="E40" s="890"/>
      <c r="F40" s="890"/>
      <c r="G40" s="890"/>
      <c r="H40" s="890"/>
      <c r="I40" s="891"/>
      <c r="J40" s="329"/>
      <c r="K40" s="338"/>
      <c r="L40" s="338"/>
      <c r="M40" s="338"/>
      <c r="N40" s="339">
        <f t="shared" ref="N40:Q40" si="29">SUM(N9:N39)</f>
        <v>0</v>
      </c>
      <c r="O40" s="339">
        <f t="shared" si="29"/>
        <v>0</v>
      </c>
      <c r="P40" s="339">
        <f t="shared" si="29"/>
        <v>0</v>
      </c>
      <c r="Q40" s="339">
        <f t="shared" si="29"/>
        <v>0</v>
      </c>
      <c r="R40" s="340">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59"/>
      <c r="T40" s="460"/>
      <c r="U40" s="460"/>
      <c r="V40" s="460">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60">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61">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5">
        <f>SUM(Y9:Y39)</f>
        <v>0</v>
      </c>
      <c r="Z40" s="425">
        <f>Z9+Z10+Z11+Z12+Z13+Z14+Z15+Z16+Z17+Z18+Z19+Z20+Z21+Z22+Z23+Z24+Z25+Z26+Z27+Z28+Z29+Z30+Z31+Z32+Z33+Z34+Z35+Z36+Z37+Z38+Z39</f>
        <v>0</v>
      </c>
      <c r="AA40" s="239">
        <f t="shared" ref="AA40:AF40" si="30">SUM(AA9:AA39)</f>
        <v>0</v>
      </c>
      <c r="AB40" s="239">
        <f t="shared" si="30"/>
        <v>0</v>
      </c>
      <c r="AC40" s="239">
        <f t="shared" si="30"/>
        <v>0</v>
      </c>
      <c r="AD40" s="239">
        <f t="shared" si="30"/>
        <v>0</v>
      </c>
      <c r="AE40" s="239">
        <f t="shared" si="30"/>
        <v>0</v>
      </c>
      <c r="AF40" s="239">
        <f t="shared" si="30"/>
        <v>0</v>
      </c>
      <c r="BA40" s="1">
        <f>SUM(BA9:BA39)</f>
        <v>0</v>
      </c>
      <c r="BB40" s="116"/>
      <c r="BC40" s="239">
        <f>SUM(BC9:BC39)</f>
        <v>0</v>
      </c>
      <c r="BD40" s="239">
        <f>SUM(BD9:BD39)</f>
        <v>0</v>
      </c>
      <c r="BE40" s="239">
        <f t="shared" ref="BE40:BF40" si="31">SUM(BE9:BE39)</f>
        <v>0</v>
      </c>
      <c r="BF40" s="239">
        <f t="shared" si="31"/>
        <v>0</v>
      </c>
      <c r="BR40" s="214" t="str">
        <f>IF(AND(C40="Skema 3",B40="ti"),Skemaoplysninger!$Z$30,"")</f>
        <v/>
      </c>
      <c r="CA40" s="239">
        <f>SUM(CA9:CA39)</f>
        <v>0</v>
      </c>
      <c r="CB40" s="239">
        <f t="shared" ref="CB40:CC40" si="32">SUM(CB9:CB39)</f>
        <v>0</v>
      </c>
      <c r="CC40" s="239">
        <f t="shared" si="32"/>
        <v>0</v>
      </c>
      <c r="CX40" s="254"/>
      <c r="CY40" s="254">
        <f t="shared" ref="CY40:DG40" si="33">SUM(CY9:CY39)</f>
        <v>0</v>
      </c>
      <c r="CZ40" s="254">
        <f t="shared" si="33"/>
        <v>0</v>
      </c>
      <c r="DA40" s="254">
        <f t="shared" si="33"/>
        <v>0</v>
      </c>
      <c r="DB40" s="254">
        <f t="shared" si="33"/>
        <v>0</v>
      </c>
      <c r="DC40" s="254">
        <f t="shared" si="33"/>
        <v>0</v>
      </c>
      <c r="DD40" s="254">
        <f t="shared" si="33"/>
        <v>0</v>
      </c>
      <c r="DE40" s="254">
        <f t="shared" si="33"/>
        <v>0</v>
      </c>
      <c r="DF40" s="254">
        <f t="shared" si="33"/>
        <v>0</v>
      </c>
      <c r="DG40" s="254">
        <f t="shared" si="33"/>
        <v>0</v>
      </c>
    </row>
    <row r="41" spans="1:118" ht="26" thickBot="1">
      <c r="A41" s="236"/>
      <c r="B41" s="236"/>
      <c r="C41" s="236"/>
      <c r="D41" s="236"/>
      <c r="E41" s="236"/>
      <c r="F41" s="236"/>
      <c r="G41" s="236"/>
      <c r="H41" s="236"/>
      <c r="I41" s="236"/>
      <c r="J41" s="236"/>
      <c r="K41" s="243"/>
      <c r="L41" s="243"/>
      <c r="M41" s="243"/>
      <c r="N41" s="243"/>
      <c r="O41" s="243"/>
      <c r="P41" s="243"/>
      <c r="Q41" s="243"/>
      <c r="R41" s="243"/>
      <c r="S41" s="478"/>
      <c r="T41" s="478"/>
      <c r="U41" s="478"/>
      <c r="V41" s="478"/>
      <c r="W41" s="478"/>
      <c r="X41" s="478"/>
      <c r="Y41" s="239"/>
      <c r="Z41" s="215"/>
      <c r="AA41" s="239"/>
      <c r="AB41" s="215"/>
      <c r="AC41" s="215"/>
      <c r="AD41" s="239"/>
      <c r="AE41" s="239"/>
      <c r="AG41" s="239"/>
      <c r="BC41" s="239"/>
      <c r="BD41" s="239"/>
      <c r="BE41" s="239"/>
      <c r="BF41" s="239"/>
      <c r="BG41" s="116"/>
      <c r="CB41" s="239"/>
      <c r="CC41" s="239"/>
      <c r="CD41" s="116"/>
      <c r="CX41" s="253"/>
      <c r="CZ41"/>
    </row>
    <row r="42" spans="1:118" ht="70" customHeight="1">
      <c r="A42" s="875" t="str">
        <f>"Arbejdstid for "&amp;A7&amp;" måned:"</f>
        <v>Arbejdstid for Maj måned:</v>
      </c>
      <c r="B42" s="876"/>
      <c r="C42" s="876"/>
      <c r="D42" s="876"/>
      <c r="E42" s="876"/>
      <c r="F42" s="876"/>
      <c r="G42" s="876"/>
      <c r="H42" s="347" t="s">
        <v>258</v>
      </c>
      <c r="I42" s="876" t="s">
        <v>224</v>
      </c>
      <c r="J42" s="877"/>
      <c r="K42" s="878"/>
      <c r="L42" s="267"/>
      <c r="M42" s="843" t="str">
        <f>"Ulempetimer og weekendtimer i "&amp;A5&amp;""</f>
        <v>Ulempetimer og weekendtimer i Maj måneds kalender for: . Måneden vedr. normperioden:  - .</v>
      </c>
      <c r="N42" s="844"/>
      <c r="O42" s="844"/>
      <c r="P42" s="844"/>
      <c r="Q42" s="844"/>
      <c r="R42" s="844"/>
      <c r="S42" s="844"/>
      <c r="T42" s="844"/>
      <c r="U42" s="844"/>
      <c r="V42" s="844"/>
      <c r="W42" s="844"/>
      <c r="X42" s="845"/>
      <c r="Y42" s="243"/>
      <c r="Z42" s="243"/>
      <c r="AD42" s="94"/>
      <c r="AE42" s="94"/>
      <c r="BM42" s="1"/>
      <c r="CJ42" s="1"/>
      <c r="CU42" s="253"/>
      <c r="CV42" s="253"/>
      <c r="CY42"/>
      <c r="CZ42"/>
    </row>
    <row r="43" spans="1:118">
      <c r="A43" s="879" t="s">
        <v>601</v>
      </c>
      <c r="B43" s="880"/>
      <c r="C43" s="880"/>
      <c r="D43" s="880"/>
      <c r="E43" s="880"/>
      <c r="F43" s="880"/>
      <c r="G43" s="880"/>
      <c r="H43" s="261">
        <f>D78</f>
        <v>23</v>
      </c>
      <c r="I43" s="892">
        <f>IF(Stamoplysninger!$E$12="Ja",1924/Arbejdstidsoversigt!$K$9*Stamoplysninger!$E$15*H43,H43*7.4*Stamoplysninger!$E$15)</f>
        <v>0</v>
      </c>
      <c r="J43" s="893"/>
      <c r="K43" s="894"/>
      <c r="L43" s="263"/>
      <c r="M43" s="846" t="s">
        <v>550</v>
      </c>
      <c r="N43" s="847"/>
      <c r="O43" s="847"/>
      <c r="P43" s="847"/>
      <c r="Q43" s="847"/>
      <c r="R43" s="847"/>
      <c r="S43" s="847"/>
      <c r="T43" s="847"/>
      <c r="U43" s="848"/>
      <c r="V43" s="990">
        <f>M73+S72+T72+M76+M80+M74+N73+N80</f>
        <v>0</v>
      </c>
      <c r="W43" s="990"/>
      <c r="X43" s="991"/>
      <c r="Y43" s="243"/>
      <c r="Z43" s="243"/>
      <c r="AD43" s="94"/>
      <c r="AE43" s="94"/>
      <c r="BM43" s="1"/>
      <c r="CJ43" s="1"/>
      <c r="CU43" s="253"/>
      <c r="CV43" s="253"/>
      <c r="CY43"/>
      <c r="CZ43"/>
    </row>
    <row r="44" spans="1:118">
      <c r="A44" s="879" t="str">
        <f>"Ferie "&amp;A7&amp;" måned"</f>
        <v>Ferie Maj måned</v>
      </c>
      <c r="B44" s="880"/>
      <c r="C44" s="880"/>
      <c r="D44" s="880"/>
      <c r="E44" s="880"/>
      <c r="F44" s="880"/>
      <c r="G44" s="880"/>
      <c r="H44" s="262" t="str">
        <f>IF(D73&gt;0,$D$73,"0")</f>
        <v>0</v>
      </c>
      <c r="I44" s="881">
        <f>H44*7.4*Stamoplysninger!$E$15</f>
        <v>0</v>
      </c>
      <c r="J44" s="882"/>
      <c r="K44" s="883"/>
      <c r="L44" s="263"/>
      <c r="M44" s="852" t="s">
        <v>262</v>
      </c>
      <c r="N44" s="853"/>
      <c r="O44" s="853"/>
      <c r="P44" s="853"/>
      <c r="Q44" s="853"/>
      <c r="R44" s="853"/>
      <c r="S44" s="853"/>
      <c r="T44" s="853"/>
      <c r="U44" s="854"/>
      <c r="V44" s="992">
        <f>M72+S71+T71+M75+M79+M71+N71+N79</f>
        <v>0</v>
      </c>
      <c r="W44" s="992"/>
      <c r="X44" s="993"/>
      <c r="Y44" s="243"/>
      <c r="Z44" s="243"/>
      <c r="AD44" s="94"/>
      <c r="AE44" s="94"/>
      <c r="BM44" s="1"/>
      <c r="CJ44" s="1"/>
      <c r="CU44" s="253"/>
      <c r="CV44" s="253"/>
      <c r="CY44"/>
      <c r="CZ44"/>
    </row>
    <row r="45" spans="1:118">
      <c r="A45" s="879" t="str">
        <f>"Søgnehelligdage i "&amp;A7&amp;" måned"</f>
        <v>Søgnehelligdage i Maj måned</v>
      </c>
      <c r="B45" s="880"/>
      <c r="C45" s="880"/>
      <c r="D45" s="880"/>
      <c r="E45" s="880"/>
      <c r="F45" s="880"/>
      <c r="G45" s="880"/>
      <c r="H45" s="262">
        <f>IF(D72&gt;0,D72,0)</f>
        <v>2</v>
      </c>
      <c r="I45" s="881">
        <f>H45*7.4*Stamoplysninger!$E$15</f>
        <v>0</v>
      </c>
      <c r="J45" s="882"/>
      <c r="K45" s="883"/>
      <c r="L45" s="264"/>
      <c r="M45" s="1034" t="s">
        <v>301</v>
      </c>
      <c r="N45" s="1035"/>
      <c r="O45" s="1035"/>
      <c r="P45" s="1035"/>
      <c r="Q45" s="1035"/>
      <c r="R45" s="1035"/>
      <c r="S45" s="1035"/>
      <c r="T45" s="1035"/>
      <c r="U45" s="1036"/>
      <c r="V45" s="1037">
        <f>April!V52</f>
        <v>0</v>
      </c>
      <c r="W45" s="1038"/>
      <c r="X45" s="1041"/>
      <c r="Y45" s="243"/>
      <c r="Z45" s="243"/>
      <c r="AD45" s="94"/>
      <c r="AE45" s="94"/>
      <c r="BM45" s="1"/>
      <c r="CJ45" s="1"/>
      <c r="CU45" s="253"/>
      <c r="CV45" s="253"/>
      <c r="CY45"/>
      <c r="CZ45"/>
    </row>
    <row r="46" spans="1:118">
      <c r="A46" s="879" t="str">
        <f>"Nettoarbejdstid ialt i "&amp;A7&amp;" måned"</f>
        <v>Nettoarbejdstid ialt i Maj måned</v>
      </c>
      <c r="B46" s="880"/>
      <c r="C46" s="880"/>
      <c r="D46" s="880"/>
      <c r="E46" s="880"/>
      <c r="F46" s="880"/>
      <c r="G46" s="880"/>
      <c r="H46" s="265">
        <f>H43-H44-H45</f>
        <v>21</v>
      </c>
      <c r="I46" s="881">
        <f>I43-I44-I45</f>
        <v>0</v>
      </c>
      <c r="J46" s="882"/>
      <c r="K46" s="883"/>
      <c r="L46" s="264"/>
      <c r="M46" s="862" t="s">
        <v>308</v>
      </c>
      <c r="N46" s="863"/>
      <c r="O46" s="863"/>
      <c r="P46" s="863"/>
      <c r="Q46" s="863"/>
      <c r="R46" s="863"/>
      <c r="S46" s="863"/>
      <c r="T46" s="863"/>
      <c r="U46" s="864"/>
      <c r="V46" s="865">
        <f>SUM(V44:X45)</f>
        <v>0</v>
      </c>
      <c r="W46" s="866"/>
      <c r="X46" s="867"/>
      <c r="Y46" s="243"/>
      <c r="Z46" s="243"/>
      <c r="AD46" s="94"/>
      <c r="AE46" s="94"/>
      <c r="BM46" s="1"/>
      <c r="CJ46" s="1"/>
      <c r="CU46" s="253"/>
      <c r="CV46" s="253"/>
      <c r="CY46"/>
      <c r="CZ46"/>
    </row>
    <row r="47" spans="1:118">
      <c r="A47" s="895" t="str">
        <f>"Planlagt arbejdstid efter ovennstående "&amp;A7&amp;" måned kalender"</f>
        <v>Planlagt arbejdstid efter ovennstående Maj måned kalender</v>
      </c>
      <c r="B47" s="896"/>
      <c r="C47" s="896"/>
      <c r="D47" s="896"/>
      <c r="E47" s="896"/>
      <c r="F47" s="896"/>
      <c r="G47" s="896"/>
      <c r="H47" s="521">
        <f>D64+D65+D66+D67+D68+D69+D70</f>
        <v>20</v>
      </c>
      <c r="I47" s="897">
        <f>N40+R40-J67</f>
        <v>0</v>
      </c>
      <c r="J47" s="834"/>
      <c r="K47" s="898"/>
      <c r="L47" s="414"/>
      <c r="M47" s="817" t="s">
        <v>299</v>
      </c>
      <c r="N47" s="818"/>
      <c r="O47" s="818"/>
      <c r="P47" s="818"/>
      <c r="Q47" s="818"/>
      <c r="R47" s="818"/>
      <c r="S47" s="818"/>
      <c r="T47" s="818"/>
      <c r="U47" s="818"/>
      <c r="V47" s="818"/>
      <c r="W47" s="818"/>
      <c r="X47" s="819"/>
      <c r="Y47" s="243"/>
      <c r="Z47" s="243"/>
      <c r="AD47" s="94"/>
      <c r="AE47" s="94"/>
      <c r="BM47" s="1"/>
      <c r="CJ47" s="1"/>
      <c r="CU47" s="253"/>
      <c r="CV47" s="253"/>
      <c r="CY47"/>
      <c r="CZ47"/>
    </row>
    <row r="48" spans="1:118">
      <c r="A48" s="902" t="s">
        <v>492</v>
      </c>
      <c r="B48" s="903"/>
      <c r="C48" s="903"/>
      <c r="D48" s="903"/>
      <c r="E48" s="903"/>
      <c r="F48" s="903"/>
      <c r="G48" s="903"/>
      <c r="H48" s="904"/>
      <c r="I48" s="899">
        <f>(M71+M73+M81+M83+M77+M78+M82)*-1</f>
        <v>0</v>
      </c>
      <c r="J48" s="900"/>
      <c r="K48" s="901"/>
      <c r="L48" s="415"/>
      <c r="M48" s="820" t="s">
        <v>506</v>
      </c>
      <c r="N48" s="821"/>
      <c r="O48" s="821"/>
      <c r="P48" s="821"/>
      <c r="Q48" s="821"/>
      <c r="R48" s="821"/>
      <c r="S48" s="821"/>
      <c r="T48" s="821"/>
      <c r="U48" s="822"/>
      <c r="V48" s="823" t="s">
        <v>224</v>
      </c>
      <c r="W48" s="824"/>
      <c r="X48" s="825"/>
      <c r="Y48" s="243"/>
      <c r="Z48" s="243"/>
      <c r="AD48" s="94"/>
      <c r="AE48" s="94"/>
      <c r="BM48" s="1"/>
      <c r="CJ48" s="1"/>
      <c r="CU48" s="253"/>
      <c r="CV48" s="253"/>
      <c r="CY48"/>
      <c r="CZ48"/>
    </row>
    <row r="49" spans="1:110">
      <c r="A49" s="837" t="str">
        <f>"Arbejde særligt planlagt for "&amp;A7&amp;" måned efter fanen skemaoplysninger"</f>
        <v>Arbejde særligt planlagt for Maj måned efter fanen skemaoplysninger</v>
      </c>
      <c r="B49" s="838"/>
      <c r="C49" s="838"/>
      <c r="D49" s="838"/>
      <c r="E49" s="838"/>
      <c r="F49" s="838"/>
      <c r="G49" s="838"/>
      <c r="H49" s="839"/>
      <c r="I49" s="834">
        <f>Skemaoplysninger!T91</f>
        <v>0</v>
      </c>
      <c r="J49" s="835"/>
      <c r="K49" s="836"/>
      <c r="L49" s="416"/>
      <c r="M49" s="805"/>
      <c r="N49" s="806"/>
      <c r="O49" s="806"/>
      <c r="P49" s="806"/>
      <c r="Q49" s="806"/>
      <c r="R49" s="806"/>
      <c r="S49" s="806"/>
      <c r="T49" s="806"/>
      <c r="U49" s="807"/>
      <c r="V49" s="826"/>
      <c r="W49" s="826"/>
      <c r="X49" s="827"/>
      <c r="Y49"/>
      <c r="Z49" s="243"/>
      <c r="AA49" s="243"/>
      <c r="AG49" s="94"/>
      <c r="AH49" s="94"/>
      <c r="BA49" s="243"/>
      <c r="BO49" s="1"/>
      <c r="CL49" s="1"/>
      <c r="CV49" s="253"/>
      <c r="CW49" s="253"/>
      <c r="CY49"/>
      <c r="CZ49"/>
    </row>
    <row r="50" spans="1:110">
      <c r="A50" s="884" t="s">
        <v>296</v>
      </c>
      <c r="B50" s="885"/>
      <c r="C50" s="885"/>
      <c r="D50" s="885"/>
      <c r="E50" s="885"/>
      <c r="F50" s="885"/>
      <c r="G50" s="885"/>
      <c r="H50" s="885"/>
      <c r="I50" s="1027">
        <f>V40+X40-N68-N66-P66</f>
        <v>0</v>
      </c>
      <c r="J50" s="899"/>
      <c r="K50" s="1028"/>
      <c r="L50" s="245"/>
      <c r="M50" s="805"/>
      <c r="N50" s="806"/>
      <c r="O50" s="806"/>
      <c r="P50" s="806"/>
      <c r="Q50" s="806"/>
      <c r="R50" s="806"/>
      <c r="S50" s="806"/>
      <c r="T50" s="806"/>
      <c r="U50" s="807"/>
      <c r="V50" s="808"/>
      <c r="W50" s="809"/>
      <c r="X50" s="810"/>
      <c r="Y50"/>
      <c r="Z50" s="243"/>
      <c r="AA50" s="243"/>
      <c r="AE50" s="94"/>
      <c r="AF50" s="252"/>
      <c r="AG50" s="94"/>
      <c r="BN50" s="1"/>
      <c r="CK50" s="1"/>
      <c r="CV50" s="253"/>
      <c r="CW50" s="253"/>
      <c r="CY50"/>
      <c r="CZ50"/>
    </row>
    <row r="51" spans="1:110" ht="17" thickBot="1">
      <c r="A51" s="266" t="str">
        <f>"Faktisk arbejdstid ialt i "&amp;A7&amp;" måned"</f>
        <v>Faktisk arbejdstid ialt i Maj måned</v>
      </c>
      <c r="B51" s="330"/>
      <c r="C51" s="331"/>
      <c r="D51" s="331"/>
      <c r="E51" s="331"/>
      <c r="F51" s="331"/>
      <c r="G51" s="331"/>
      <c r="H51" s="332"/>
      <c r="I51" s="840">
        <f>I47+I50+I49+I48</f>
        <v>0</v>
      </c>
      <c r="J51" s="841"/>
      <c r="K51" s="842"/>
      <c r="L51" s="354"/>
      <c r="M51" s="805"/>
      <c r="N51" s="806"/>
      <c r="O51" s="806"/>
      <c r="P51" s="806"/>
      <c r="Q51" s="806"/>
      <c r="R51" s="806"/>
      <c r="S51" s="806"/>
      <c r="T51" s="806"/>
      <c r="U51" s="807"/>
      <c r="V51" s="808"/>
      <c r="W51" s="809"/>
      <c r="X51" s="810"/>
      <c r="Y51" s="243"/>
      <c r="Z51" s="243"/>
      <c r="AA51" s="218"/>
      <c r="AB51" s="252"/>
      <c r="AC51" s="252"/>
      <c r="AD51" s="252"/>
      <c r="AE51" s="243"/>
      <c r="AF51" s="252"/>
      <c r="AH51" s="243"/>
      <c r="AI51" s="243"/>
      <c r="AM51" s="94"/>
      <c r="AN51" s="94"/>
      <c r="BU51" s="1"/>
      <c r="CR51" s="1"/>
      <c r="CY51"/>
      <c r="CZ51"/>
      <c r="DC51" s="253"/>
      <c r="DD51" s="253"/>
    </row>
    <row r="52" spans="1:110" ht="17" thickBot="1">
      <c r="A52" s="260"/>
      <c r="B52" s="260"/>
      <c r="C52" s="260"/>
      <c r="D52" s="260"/>
      <c r="E52" s="260"/>
      <c r="F52" s="260"/>
      <c r="G52" s="260"/>
      <c r="H52" s="260"/>
      <c r="I52" s="577"/>
      <c r="J52" s="577"/>
      <c r="K52" s="577"/>
      <c r="L52" s="551"/>
      <c r="M52" s="805"/>
      <c r="N52" s="806"/>
      <c r="O52" s="806"/>
      <c r="P52" s="806"/>
      <c r="Q52" s="806"/>
      <c r="R52" s="806"/>
      <c r="S52" s="806"/>
      <c r="T52" s="806"/>
      <c r="U52" s="807"/>
      <c r="V52" s="808"/>
      <c r="W52" s="809"/>
      <c r="X52" s="810"/>
      <c r="Y52" s="243"/>
      <c r="Z52" s="243"/>
      <c r="AA52" s="243"/>
      <c r="AB52" s="243"/>
      <c r="AC52" s="218"/>
      <c r="AD52" s="252"/>
      <c r="AE52" s="252"/>
      <c r="AF52" s="252"/>
      <c r="AG52" s="252"/>
      <c r="AH52" s="243"/>
      <c r="AJ52" s="243"/>
      <c r="AK52" s="243"/>
      <c r="AO52" s="94"/>
      <c r="AP52" s="94"/>
      <c r="BW52" s="1"/>
      <c r="CT52" s="1"/>
      <c r="CY52"/>
      <c r="CZ52"/>
      <c r="DE52" s="253"/>
      <c r="DF52" s="253"/>
    </row>
    <row r="53" spans="1:110" ht="35" thickBot="1">
      <c r="A53" s="843" t="s">
        <v>532</v>
      </c>
      <c r="B53" s="844"/>
      <c r="C53" s="844"/>
      <c r="D53" s="844"/>
      <c r="E53" s="844"/>
      <c r="F53" s="844"/>
      <c r="G53" s="844"/>
      <c r="H53" s="670" t="s">
        <v>614</v>
      </c>
      <c r="I53" s="876" t="s">
        <v>526</v>
      </c>
      <c r="J53" s="876"/>
      <c r="K53" s="878"/>
      <c r="L53" s="551"/>
      <c r="M53" s="811" t="s">
        <v>300</v>
      </c>
      <c r="N53" s="812"/>
      <c r="O53" s="812"/>
      <c r="P53" s="812"/>
      <c r="Q53" s="812"/>
      <c r="R53" s="812"/>
      <c r="S53" s="812"/>
      <c r="T53" s="812"/>
      <c r="U53" s="813"/>
      <c r="V53" s="1006">
        <f>V46-SUM(V49:X52)</f>
        <v>0</v>
      </c>
      <c r="W53" s="1007"/>
      <c r="X53" s="1008"/>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1042"/>
      <c r="B54" s="1043"/>
      <c r="C54" s="1043"/>
      <c r="D54" s="1043"/>
      <c r="E54" s="1043"/>
      <c r="F54" s="1043"/>
      <c r="G54" s="1043"/>
      <c r="H54" s="666">
        <f>April!H61</f>
        <v>0</v>
      </c>
      <c r="I54" s="860"/>
      <c r="J54" s="860"/>
      <c r="K54" s="861"/>
      <c r="L54" s="551"/>
      <c r="M54" s="578"/>
      <c r="N54" s="578"/>
      <c r="O54" s="578"/>
      <c r="P54" s="578"/>
      <c r="Q54" s="579"/>
      <c r="R54" s="580"/>
      <c r="S54" s="580"/>
      <c r="T54" s="580"/>
      <c r="U54" s="580"/>
      <c r="V54" s="578"/>
      <c r="W54" s="581"/>
      <c r="X54" s="578"/>
      <c r="Y54" s="243"/>
      <c r="Z54" s="243"/>
      <c r="AA54" s="243"/>
      <c r="AB54" s="243"/>
      <c r="AC54" s="218"/>
      <c r="AD54" s="252"/>
      <c r="AE54" s="252"/>
      <c r="AF54" s="252"/>
      <c r="AG54" s="252"/>
      <c r="AH54" s="243"/>
      <c r="AJ54" s="243"/>
      <c r="AK54" s="243"/>
      <c r="AO54" s="94"/>
      <c r="AP54" s="94"/>
      <c r="BW54" s="1"/>
      <c r="CT54" s="1"/>
      <c r="CY54"/>
      <c r="CZ54"/>
      <c r="DE54" s="253"/>
      <c r="DF54" s="253"/>
    </row>
    <row r="55" spans="1:110" ht="32" customHeight="1">
      <c r="A55" s="802" t="s">
        <v>600</v>
      </c>
      <c r="B55" s="803"/>
      <c r="C55" s="803"/>
      <c r="D55" s="803"/>
      <c r="E55" s="803"/>
      <c r="F55" s="803"/>
      <c r="G55" s="961"/>
      <c r="H55" s="664"/>
      <c r="I55" s="1016"/>
      <c r="J55" s="1017"/>
      <c r="K55" s="1018"/>
      <c r="L55" s="551"/>
      <c r="M55" s="578"/>
      <c r="N55" s="578"/>
      <c r="O55" s="578"/>
      <c r="P55" s="578"/>
      <c r="Q55" s="579"/>
      <c r="R55" s="580"/>
      <c r="S55" s="580"/>
      <c r="T55" s="580"/>
      <c r="U55" s="580"/>
      <c r="V55" s="578"/>
      <c r="W55" s="581"/>
      <c r="X55" s="578"/>
      <c r="Y55" s="243"/>
      <c r="Z55" s="243"/>
      <c r="AA55" s="243"/>
      <c r="AB55" s="243"/>
      <c r="AC55" s="218"/>
      <c r="AD55" s="252"/>
      <c r="AE55" s="252"/>
      <c r="AF55" s="252"/>
      <c r="AG55" s="252"/>
      <c r="AH55" s="243"/>
      <c r="AJ55" s="243"/>
      <c r="AK55" s="243"/>
      <c r="AO55" s="94"/>
      <c r="AP55" s="94"/>
      <c r="BW55" s="1"/>
      <c r="CT55" s="1"/>
      <c r="CY55"/>
      <c r="CZ55"/>
      <c r="DE55" s="253"/>
      <c r="DF55" s="253"/>
    </row>
    <row r="56" spans="1:110" ht="37" customHeight="1">
      <c r="A56" s="802" t="s">
        <v>616</v>
      </c>
      <c r="B56" s="803"/>
      <c r="C56" s="803"/>
      <c r="D56" s="803"/>
      <c r="E56" s="803"/>
      <c r="F56" s="803"/>
      <c r="G56" s="803"/>
      <c r="H56" s="803"/>
      <c r="I56" s="803"/>
      <c r="J56" s="803"/>
      <c r="K56" s="804"/>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0" ht="35" customHeight="1">
      <c r="A57" s="907" t="s">
        <v>615</v>
      </c>
      <c r="B57" s="908"/>
      <c r="C57" s="958" t="s">
        <v>566</v>
      </c>
      <c r="D57" s="959"/>
      <c r="E57" s="960" t="s">
        <v>567</v>
      </c>
      <c r="F57" s="803"/>
      <c r="G57" s="961"/>
      <c r="H57" s="970" t="s">
        <v>528</v>
      </c>
      <c r="I57" s="970"/>
      <c r="J57" s="970"/>
      <c r="K57" s="971"/>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0">
      <c r="A58" s="962"/>
      <c r="B58" s="963"/>
      <c r="C58" s="966"/>
      <c r="D58" s="965"/>
      <c r="E58" s="967"/>
      <c r="F58" s="968"/>
      <c r="G58" s="969"/>
      <c r="H58" s="665"/>
      <c r="I58" s="956"/>
      <c r="J58" s="956"/>
      <c r="K58" s="957"/>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0">
      <c r="A59" s="964"/>
      <c r="B59" s="965"/>
      <c r="C59" s="966"/>
      <c r="D59" s="965"/>
      <c r="E59" s="967"/>
      <c r="F59" s="968"/>
      <c r="G59" s="969"/>
      <c r="H59" s="665"/>
      <c r="I59" s="956"/>
      <c r="J59" s="956"/>
      <c r="K59" s="957"/>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0">
      <c r="A60" s="964"/>
      <c r="B60" s="965"/>
      <c r="C60" s="966"/>
      <c r="D60" s="965"/>
      <c r="E60" s="967"/>
      <c r="F60" s="968"/>
      <c r="G60" s="969"/>
      <c r="H60" s="665"/>
      <c r="I60" s="956"/>
      <c r="J60" s="956"/>
      <c r="K60" s="957"/>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0">
      <c r="A61" s="964"/>
      <c r="B61" s="965"/>
      <c r="C61" s="966"/>
      <c r="D61" s="965"/>
      <c r="E61" s="967"/>
      <c r="F61" s="968"/>
      <c r="G61" s="969"/>
      <c r="H61" s="665"/>
      <c r="I61" s="956"/>
      <c r="J61" s="956"/>
      <c r="K61" s="957"/>
      <c r="L61" s="551"/>
      <c r="M61" s="578"/>
      <c r="N61" s="578"/>
      <c r="O61" s="578"/>
      <c r="P61" s="578"/>
      <c r="Q61" s="579"/>
      <c r="R61" s="580"/>
      <c r="S61" s="580"/>
      <c r="T61" s="580"/>
      <c r="U61" s="580"/>
      <c r="V61" s="578"/>
      <c r="W61" s="581"/>
      <c r="X61" s="578"/>
      <c r="Y61" s="243"/>
      <c r="Z61" s="243"/>
      <c r="AA61" s="243"/>
      <c r="AB61" s="243"/>
      <c r="AC61" s="218"/>
      <c r="AD61" s="252"/>
      <c r="AE61" s="252"/>
      <c r="AF61" s="252"/>
      <c r="AG61" s="252"/>
      <c r="AH61" s="243"/>
      <c r="AJ61" s="243"/>
      <c r="AK61" s="243"/>
      <c r="AO61" s="94"/>
      <c r="AP61" s="94"/>
      <c r="BW61" s="1"/>
      <c r="CT61" s="1"/>
      <c r="CY61"/>
      <c r="CZ61"/>
      <c r="DE61" s="253"/>
      <c r="DF61" s="253"/>
    </row>
    <row r="62" spans="1:110" ht="17" thickBot="1">
      <c r="A62" s="953" t="s">
        <v>529</v>
      </c>
      <c r="B62" s="954"/>
      <c r="C62" s="955"/>
      <c r="D62" s="955"/>
      <c r="E62" s="955"/>
      <c r="F62" s="955"/>
      <c r="G62" s="955"/>
      <c r="H62" s="667">
        <f>H55+H54-SUM(H58:H61)</f>
        <v>0</v>
      </c>
      <c r="I62" s="950">
        <f>I54+I55-SUM(I58:K61)</f>
        <v>0</v>
      </c>
      <c r="J62" s="951"/>
      <c r="K62" s="952"/>
      <c r="L62" s="551"/>
      <c r="M62" s="578"/>
      <c r="N62" s="578"/>
      <c r="O62" s="578"/>
      <c r="P62" s="578"/>
      <c r="Q62" s="579"/>
      <c r="R62" s="580"/>
      <c r="S62" s="580"/>
      <c r="T62" s="580"/>
      <c r="U62" s="580"/>
      <c r="V62" s="578"/>
      <c r="W62" s="581"/>
      <c r="X62" s="578"/>
      <c r="Y62" s="243"/>
      <c r="Z62" s="243"/>
      <c r="AA62" s="243"/>
      <c r="AB62" s="243"/>
      <c r="AC62" s="218"/>
      <c r="AD62" s="252"/>
      <c r="AE62" s="252"/>
      <c r="AF62" s="252"/>
      <c r="AG62" s="252"/>
      <c r="AH62" s="243"/>
      <c r="AJ62" s="243"/>
      <c r="AK62" s="243"/>
      <c r="AO62" s="94"/>
      <c r="AP62" s="94"/>
      <c r="BW62" s="1"/>
      <c r="CT62" s="1"/>
      <c r="CY62"/>
      <c r="CZ62"/>
      <c r="DE62" s="253"/>
      <c r="DF62" s="253"/>
    </row>
    <row r="63" spans="1:110" ht="18" customHeight="1">
      <c r="A63" s="470"/>
      <c r="B63" s="470"/>
      <c r="C63" s="470"/>
      <c r="D63" s="470"/>
      <c r="E63" s="470"/>
      <c r="F63" s="470"/>
      <c r="G63" s="470"/>
      <c r="H63" s="482"/>
      <c r="I63" s="122"/>
      <c r="J63" s="122"/>
      <c r="K63" s="268" t="s">
        <v>297</v>
      </c>
      <c r="L63" s="354"/>
      <c r="M63" s="243"/>
      <c r="N63" s="243"/>
      <c r="O63" s="218"/>
      <c r="P63" s="252"/>
      <c r="Q63" s="252"/>
      <c r="R63" s="252"/>
      <c r="S63" s="243"/>
      <c r="T63" s="252"/>
      <c r="V63" s="243"/>
      <c r="W63" s="243"/>
      <c r="Y63"/>
      <c r="Z63"/>
      <c r="AA63" s="94"/>
      <c r="AB63" s="94"/>
      <c r="BI63" s="1"/>
      <c r="CF63" s="1"/>
      <c r="CQ63" s="253"/>
      <c r="CR63" s="253"/>
      <c r="CY63"/>
      <c r="CZ63"/>
    </row>
    <row r="64" spans="1:110" hidden="1">
      <c r="A64" s="127" t="s">
        <v>209</v>
      </c>
      <c r="B64" s="127"/>
      <c r="C64" s="127"/>
      <c r="D64" s="127">
        <f>COUNTIF([0]!Maj,"Skema 1")</f>
        <v>20</v>
      </c>
      <c r="E64" s="422"/>
      <c r="F64" s="127" t="s">
        <v>189</v>
      </c>
      <c r="G64" s="127">
        <f>COUNTIFS($B$9:$B$39,"ma",[0]!Maj,"Skema 1")</f>
        <v>3</v>
      </c>
      <c r="H64" s="127"/>
      <c r="I64" s="127"/>
      <c r="J64" s="353"/>
      <c r="K64" s="354"/>
      <c r="L64" s="354"/>
      <c r="M64" s="243"/>
      <c r="N64" s="243"/>
      <c r="O64" s="218"/>
      <c r="P64" s="252"/>
      <c r="Q64" s="252"/>
      <c r="R64" s="252"/>
      <c r="S64" s="243"/>
      <c r="T64" s="252"/>
      <c r="V64" s="243"/>
      <c r="W64" s="243"/>
      <c r="Y64"/>
      <c r="Z64"/>
      <c r="AA64" s="94"/>
      <c r="AB64" s="94"/>
      <c r="BI64" s="1"/>
      <c r="CF64" s="1"/>
      <c r="CQ64" s="253"/>
      <c r="CR64" s="253"/>
      <c r="CY64"/>
      <c r="CZ64"/>
    </row>
    <row r="65" spans="1:109" hidden="1">
      <c r="A65" s="972" t="s">
        <v>210</v>
      </c>
      <c r="B65" s="972"/>
      <c r="C65" s="972"/>
      <c r="D65" s="547">
        <f>COUNTIF([0]!Maj,"Skema 2")</f>
        <v>0</v>
      </c>
      <c r="E65" s="549"/>
      <c r="F65" s="547" t="s">
        <v>190</v>
      </c>
      <c r="G65" s="547">
        <f>COUNTIFS($B$9:$B$39,"ti",[0]!Maj,"Skema 1")</f>
        <v>4</v>
      </c>
      <c r="H65" s="547"/>
      <c r="I65" s="127"/>
      <c r="J65" s="353"/>
      <c r="K65" s="354"/>
      <c r="L65" s="354"/>
      <c r="M65" s="243"/>
      <c r="N65" s="243"/>
      <c r="O65" s="218"/>
      <c r="P65" s="252"/>
      <c r="Q65" s="252"/>
      <c r="R65" s="252"/>
      <c r="S65" s="243"/>
      <c r="T65" s="252"/>
      <c r="V65" s="243"/>
      <c r="W65" s="243"/>
      <c r="Y65"/>
      <c r="Z65"/>
      <c r="AA65" s="94"/>
      <c r="AB65" s="94"/>
      <c r="BI65" s="1"/>
      <c r="CF65" s="1"/>
      <c r="CQ65" s="253"/>
      <c r="CR65" s="253"/>
      <c r="CY65"/>
      <c r="CZ65"/>
    </row>
    <row r="66" spans="1:109" hidden="1">
      <c r="A66" s="972" t="s">
        <v>211</v>
      </c>
      <c r="B66" s="972"/>
      <c r="C66" s="972"/>
      <c r="D66" s="547">
        <f>COUNTIF([0]!Maj,"Skema 3")</f>
        <v>0</v>
      </c>
      <c r="E66" s="549"/>
      <c r="F66" s="547" t="s">
        <v>191</v>
      </c>
      <c r="G66" s="547">
        <f>COUNTIFS($B$9:$B$39,"on",[0]!Maj,"Skema 1")</f>
        <v>5</v>
      </c>
      <c r="H66" s="547"/>
      <c r="I66" s="127"/>
      <c r="J66" s="353"/>
      <c r="K66" s="354"/>
      <c r="L66" s="477"/>
      <c r="M66" s="243"/>
      <c r="N66" s="550">
        <f>IF($C$9="Ikke relevant",V9,0)+IF($C$10="Ikke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relevant",V37,0)+IF($C$38="Ikke relevant",V38,0)+IF($C$39="Ikke relevant",V39,0)</f>
        <v>0</v>
      </c>
      <c r="O66" s="550">
        <f t="shared" ref="O66:P66" si="34">IF($C$9="Ikke relevant",W9,0)+IF($C$10="Ikke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relevant",W37,0)+IF($C$38="Ikke relevant",W38,0)+IF($C$39="Ikke relevant",W39,0)</f>
        <v>0</v>
      </c>
      <c r="P66" s="550">
        <f t="shared" si="34"/>
        <v>0</v>
      </c>
      <c r="Q66" s="579" t="s">
        <v>622</v>
      </c>
      <c r="R66" s="252"/>
      <c r="S66" s="243"/>
      <c r="T66" s="252"/>
      <c r="V66" s="243"/>
      <c r="W66" s="243"/>
      <c r="Y66"/>
      <c r="Z66"/>
      <c r="AA66" s="94"/>
      <c r="AB66" s="94"/>
      <c r="BI66" s="1"/>
      <c r="CF66" s="1"/>
      <c r="CQ66" s="253"/>
      <c r="CR66" s="253"/>
      <c r="CY66"/>
      <c r="CZ66"/>
    </row>
    <row r="67" spans="1:109" hidden="1">
      <c r="A67" s="972" t="s">
        <v>212</v>
      </c>
      <c r="B67" s="972"/>
      <c r="C67" s="972"/>
      <c r="D67" s="547">
        <f>COUNTIF([0]!Maj,"Skema 4")</f>
        <v>0</v>
      </c>
      <c r="E67" s="549"/>
      <c r="F67" s="547" t="s">
        <v>193</v>
      </c>
      <c r="G67" s="547">
        <f>COUNTIFS($B$9:$B$39,"to",[0]!Maj,"Skema 1")</f>
        <v>4</v>
      </c>
      <c r="H67" s="547"/>
      <c r="I67" s="234" t="s">
        <v>496</v>
      </c>
      <c r="J67" s="532">
        <f>IF(C9="Ikke relevant",R9,0)+IF(C10="Ikke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K67" s="477"/>
      <c r="L67" s="477"/>
      <c r="M67" s="470" t="s">
        <v>327</v>
      </c>
      <c r="N67" s="470" t="s">
        <v>423</v>
      </c>
      <c r="O67" s="260"/>
      <c r="P67" s="260"/>
      <c r="Q67" s="260"/>
      <c r="R67" s="260"/>
      <c r="S67" s="260"/>
      <c r="T67" s="260"/>
      <c r="U67" s="260"/>
      <c r="V67" s="260"/>
      <c r="W67" s="260"/>
      <c r="X67" s="260"/>
      <c r="Y67" s="243"/>
      <c r="Z67" s="243"/>
      <c r="AA67" s="243"/>
      <c r="AB67" s="218"/>
      <c r="AC67" s="252"/>
      <c r="AD67" s="252"/>
      <c r="AE67" s="252"/>
      <c r="AF67" s="218"/>
      <c r="AG67" s="243"/>
      <c r="AI67" s="243"/>
      <c r="AJ67" s="243"/>
      <c r="AN67" s="94"/>
      <c r="AO67" s="94"/>
      <c r="BV67" s="1"/>
      <c r="CS67" s="1"/>
      <c r="CY67"/>
      <c r="CZ67"/>
      <c r="DD67" s="253"/>
      <c r="DE67" s="253"/>
    </row>
    <row r="68" spans="1:109" hidden="1">
      <c r="A68" s="547" t="s">
        <v>113</v>
      </c>
      <c r="B68" s="547"/>
      <c r="C68" s="547"/>
      <c r="D68" s="547">
        <f>COUNTIF([0]!Maj,"Fagdag")+COUNTIF([0]!Maj,"emnedag")</f>
        <v>0</v>
      </c>
      <c r="E68" s="549"/>
      <c r="F68" s="547" t="s">
        <v>192</v>
      </c>
      <c r="G68" s="547">
        <f>COUNTIFS($B$9:$B$39,"fr",[0]!Maj,"Skema 1")</f>
        <v>4</v>
      </c>
      <c r="H68" s="547"/>
      <c r="I68" s="44" t="s">
        <v>329</v>
      </c>
      <c r="J68" s="353"/>
      <c r="K68" s="477"/>
      <c r="L68" s="477"/>
      <c r="M68" s="463">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68" s="463">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68" s="463"/>
      <c r="P68" s="354"/>
      <c r="Q68" s="465" t="s">
        <v>331</v>
      </c>
      <c r="R68" s="234"/>
      <c r="S68" s="234"/>
      <c r="T68" s="234" t="s">
        <v>332</v>
      </c>
      <c r="U68" s="234"/>
      <c r="V68" s="234"/>
      <c r="W68" s="122"/>
      <c r="X68" s="122"/>
      <c r="Y68" s="243"/>
      <c r="Z68" s="243"/>
      <c r="AA68" s="243"/>
      <c r="AB68" s="218"/>
      <c r="AC68" s="252"/>
      <c r="AD68" s="252"/>
      <c r="AE68" s="252"/>
      <c r="AF68" s="218"/>
      <c r="AG68" s="243"/>
      <c r="AI68" s="243"/>
      <c r="AJ68" s="243"/>
      <c r="AN68" s="94"/>
      <c r="AO68" s="94"/>
      <c r="BV68" s="1"/>
      <c r="CS68" s="1"/>
      <c r="CY68"/>
      <c r="CZ68"/>
      <c r="DD68" s="253"/>
      <c r="DE68" s="253"/>
    </row>
    <row r="69" spans="1:109" hidden="1">
      <c r="A69" s="553" t="s">
        <v>112</v>
      </c>
      <c r="B69" s="547"/>
      <c r="C69" s="547"/>
      <c r="D69" s="547">
        <f>COUNTIF([0]!Maj,"Lejrskole")+COUNTIF([0]!Maj,"Ekskursion")</f>
        <v>0</v>
      </c>
      <c r="E69" s="549"/>
      <c r="F69" s="547"/>
      <c r="G69" s="547"/>
      <c r="H69" s="547"/>
      <c r="I69" t="s">
        <v>343</v>
      </c>
      <c r="J69" s="353"/>
      <c r="M69" s="463">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69" s="463">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69" s="464">
        <v>0.5</v>
      </c>
      <c r="P69" s="354"/>
      <c r="Q69" s="465" t="s">
        <v>328</v>
      </c>
      <c r="R69" s="234"/>
      <c r="S69" s="234"/>
      <c r="T69" s="234"/>
      <c r="U69" s="234"/>
      <c r="V69" s="234"/>
      <c r="W69" s="122"/>
      <c r="X69" s="122"/>
      <c r="Y69" s="243"/>
      <c r="Z69" s="243"/>
      <c r="AA69" s="243"/>
      <c r="AB69" s="218"/>
      <c r="AC69" s="252"/>
      <c r="AD69" s="252"/>
      <c r="AE69" s="252"/>
      <c r="AF69" s="218"/>
      <c r="AG69" s="243"/>
      <c r="AI69" s="243"/>
      <c r="AJ69" s="243"/>
      <c r="AN69" s="94"/>
      <c r="AO69" s="94"/>
      <c r="BV69" s="1"/>
      <c r="CS69" s="1"/>
      <c r="CY69"/>
      <c r="CZ69"/>
      <c r="DD69" s="253"/>
      <c r="DE69" s="253"/>
    </row>
    <row r="70" spans="1:109" hidden="1">
      <c r="A70" s="547" t="s">
        <v>111</v>
      </c>
      <c r="B70" s="547"/>
      <c r="C70" s="547"/>
      <c r="D70" s="547">
        <f>COUNTIF([0]!Maj,"Pæd.dag")</f>
        <v>0</v>
      </c>
      <c r="E70" s="549"/>
      <c r="F70" s="547" t="s">
        <v>194</v>
      </c>
      <c r="G70" s="547">
        <f>COUNTIFS($B$9:$B$39,"ma",[0]!Maj,"Skema 2")</f>
        <v>0</v>
      </c>
      <c r="H70" s="547"/>
      <c r="I70" s="122" t="s">
        <v>342</v>
      </c>
      <c r="J70" s="353"/>
      <c r="M70" s="463">
        <f>SUM(M68:M69)</f>
        <v>0</v>
      </c>
      <c r="N70" s="463">
        <f>SUM(N68:N69)</f>
        <v>0</v>
      </c>
      <c r="O70" s="463">
        <f>(M70+N70)/2</f>
        <v>0</v>
      </c>
      <c r="P70" s="354">
        <f>SUM(M70:O70)</f>
        <v>0</v>
      </c>
      <c r="Q70" s="465">
        <f>(M70+N70)*25%</f>
        <v>0</v>
      </c>
      <c r="R70" s="234"/>
      <c r="S70" s="234"/>
      <c r="T70" s="234"/>
      <c r="U70" s="234"/>
      <c r="V70" s="234"/>
      <c r="W70" s="122"/>
      <c r="X70" s="122"/>
      <c r="Y70" s="243"/>
      <c r="Z70" s="243"/>
      <c r="AA70" s="243"/>
      <c r="AB70" s="218"/>
      <c r="AC70" s="252"/>
      <c r="AD70" s="252"/>
      <c r="AE70" s="252"/>
      <c r="AG70" s="243"/>
      <c r="AI70" s="243"/>
      <c r="AJ70" s="243"/>
      <c r="AN70" s="94"/>
      <c r="AO70" s="94"/>
      <c r="BV70" s="1"/>
      <c r="CS70" s="1"/>
      <c r="CY70"/>
      <c r="CZ70"/>
      <c r="DD70" s="253"/>
      <c r="DE70" s="253"/>
    </row>
    <row r="71" spans="1:109" hidden="1">
      <c r="A71" s="547" t="s">
        <v>121</v>
      </c>
      <c r="B71" s="547"/>
      <c r="C71" s="547"/>
      <c r="D71" s="547">
        <f>COUNTIF([0]!Maj,"Weekend")</f>
        <v>8</v>
      </c>
      <c r="E71" s="549"/>
      <c r="F71" s="547" t="s">
        <v>195</v>
      </c>
      <c r="G71" s="547">
        <f>COUNTIFS($B$9:$B$39,"ti",[0]!Maj,"Skema 2")</f>
        <v>0</v>
      </c>
      <c r="H71" s="547"/>
      <c r="I71" s="122" t="s">
        <v>482</v>
      </c>
      <c r="J71" s="353"/>
      <c r="M71" s="513">
        <f>IF(Stamoplysninger!$B$26="Weekendtimer og weekendtillæg afspadseres.",M68,0)</f>
        <v>0</v>
      </c>
      <c r="N71" s="513">
        <f>IF(Stamoplysninger!$B$26="Weekendtimer og weekendtillæg afspadseres.",N68,0)</f>
        <v>0</v>
      </c>
      <c r="O71" s="463"/>
      <c r="P71" s="354"/>
      <c r="Q71" s="465" t="s">
        <v>333</v>
      </c>
      <c r="R71" s="234"/>
      <c r="S71" s="234">
        <f>IF(Stamoplysninger!B22="Ulempetillæg afspadseres med 25%(Kræver en aftale imellem ledelsen og den ansatte)",Q70,0)</f>
        <v>0</v>
      </c>
      <c r="T71" s="234">
        <f>IF(Stamoplysninger!B22="Ulempetillæg afspadseres med 25%(Kræver en aftale imellem ledelsen og den ansatte)",(R40+X40)*0.25,0)</f>
        <v>0</v>
      </c>
      <c r="U71" s="234"/>
      <c r="V71" s="234"/>
      <c r="W71" s="122"/>
      <c r="X71" s="122"/>
      <c r="Y71"/>
      <c r="Z71"/>
      <c r="AM71" s="1"/>
      <c r="BJ71" s="1"/>
      <c r="BU71" s="253"/>
      <c r="BV71" s="253"/>
      <c r="CY71"/>
      <c r="CZ71"/>
    </row>
    <row r="72" spans="1:109" hidden="1">
      <c r="A72" s="547" t="s">
        <v>128</v>
      </c>
      <c r="B72" s="547"/>
      <c r="C72" s="547"/>
      <c r="D72" s="547">
        <f>COUNTIF([0]!Maj,"SH-dag")</f>
        <v>2</v>
      </c>
      <c r="E72" s="549"/>
      <c r="F72" s="547" t="s">
        <v>196</v>
      </c>
      <c r="G72" s="547">
        <f>COUNTIFS($B$9:$B$39,"on",[0]!Maj,"Skema 2")</f>
        <v>0</v>
      </c>
      <c r="H72" s="547"/>
      <c r="I72" s="542" t="s">
        <v>483</v>
      </c>
      <c r="J72" s="542"/>
      <c r="K72" s="542"/>
      <c r="L72" s="542"/>
      <c r="M72" s="513">
        <f>IF(Stamoplysninger!$B$26="Weekendtimer og weekendtillæg afspadseres.",O70,0)</f>
        <v>0</v>
      </c>
      <c r="N72" s="513">
        <f>IF(Stamoplysninger!$B$26="Weekendtimer og weekendtillæg afspadseres.",O70,0)</f>
        <v>0</v>
      </c>
      <c r="O72" s="463"/>
      <c r="P72" s="354"/>
      <c r="Q72" s="465" t="s">
        <v>330</v>
      </c>
      <c r="R72" s="234"/>
      <c r="S72" s="234">
        <f>IF(Stamoplysninger!B22="Ulempetillæg udbetales med 25% af nettotimelønnen.",Q70,0)</f>
        <v>0</v>
      </c>
      <c r="T72" s="234">
        <f>IF(Stamoplysninger!B22="Ulempetillæg udbetales med 25% af nettotimelønnen.",(R40+X40)*0.25,0)</f>
        <v>0</v>
      </c>
      <c r="U72" s="234"/>
      <c r="V72" s="234"/>
      <c r="W72" s="122"/>
      <c r="X72" s="122"/>
      <c r="Y72"/>
      <c r="Z72"/>
      <c r="AM72" s="1"/>
      <c r="BJ72" s="1"/>
      <c r="BU72" s="253"/>
      <c r="BV72" s="253"/>
      <c r="CY72"/>
      <c r="CZ72"/>
    </row>
    <row r="73" spans="1:109" hidden="1">
      <c r="A73" s="547" t="s">
        <v>110</v>
      </c>
      <c r="B73" s="547"/>
      <c r="C73" s="547"/>
      <c r="D73" s="547">
        <f>COUNTIF([0]!Maj,"Feriedag")</f>
        <v>0</v>
      </c>
      <c r="E73" s="549"/>
      <c r="F73" s="547" t="s">
        <v>197</v>
      </c>
      <c r="G73" s="547">
        <f>COUNTIFS($B$9:$B$39,"to",[0]!Maj,"Skema 2")</f>
        <v>0</v>
      </c>
      <c r="H73" s="547"/>
      <c r="I73" s="542" t="s">
        <v>484</v>
      </c>
      <c r="J73" s="542"/>
      <c r="K73" s="542"/>
      <c r="L73" s="542"/>
      <c r="M73" s="514">
        <f>IF(Stamoplysninger!$B$26="Weekendtimer og weekendtillæg udbetales.",M68,0)</f>
        <v>0</v>
      </c>
      <c r="N73" s="514">
        <f>IF(Stamoplysninger!$B$26="Weekendtimer og weekendtillæg udbetales.",N68,0)</f>
        <v>0</v>
      </c>
      <c r="O73" s="463"/>
      <c r="P73" s="354"/>
      <c r="Q73" s="465"/>
      <c r="R73" s="234"/>
      <c r="S73" s="234"/>
      <c r="T73" s="234"/>
      <c r="U73" s="234"/>
      <c r="V73" s="234"/>
      <c r="W73" s="122"/>
      <c r="X73" s="122"/>
      <c r="Y73"/>
      <c r="Z73"/>
      <c r="AM73" s="1"/>
      <c r="BJ73" s="1"/>
      <c r="BU73" s="253"/>
      <c r="BV73" s="253"/>
      <c r="CY73"/>
      <c r="CZ73"/>
    </row>
    <row r="74" spans="1:109" hidden="1">
      <c r="A74" s="547" t="s">
        <v>181</v>
      </c>
      <c r="B74" s="547"/>
      <c r="C74" s="547"/>
      <c r="D74" s="547">
        <f>COUNTIF([0]!Maj,"Nul-dag")</f>
        <v>1</v>
      </c>
      <c r="E74" s="549"/>
      <c r="F74" s="547" t="s">
        <v>198</v>
      </c>
      <c r="G74" s="547">
        <f>COUNTIFS($B$9:$B$39,"fr",[0]!Maj,"Skema 2")</f>
        <v>0</v>
      </c>
      <c r="H74" s="547"/>
      <c r="I74" s="542" t="s">
        <v>485</v>
      </c>
      <c r="J74" s="542"/>
      <c r="K74" s="542"/>
      <c r="L74" s="542"/>
      <c r="M74" s="514">
        <f>IF(Stamoplysninger!$B$26="Weekendtimer og weekendtillæg udbetales.",O70,0)</f>
        <v>0</v>
      </c>
      <c r="N74" s="514">
        <f>IF(Stamoplysninger!$B$26="Weekendtimer og weekendtillæg udbetales.",O70,0)</f>
        <v>0</v>
      </c>
      <c r="O74" s="463"/>
      <c r="P74" s="354"/>
      <c r="Q74" s="465"/>
      <c r="R74" s="234"/>
      <c r="S74" s="234"/>
      <c r="T74" s="234"/>
      <c r="U74" s="234"/>
      <c r="V74" s="234"/>
      <c r="W74" s="122"/>
      <c r="X74" s="122"/>
      <c r="Y74"/>
      <c r="Z74"/>
      <c r="AM74" s="1"/>
      <c r="BJ74" s="1"/>
      <c r="BU74" s="253"/>
      <c r="BV74" s="253"/>
      <c r="CY74"/>
      <c r="CZ74"/>
    </row>
    <row r="75" spans="1:109" hidden="1">
      <c r="A75" s="547" t="s">
        <v>444</v>
      </c>
      <c r="B75" s="547"/>
      <c r="C75" s="547"/>
      <c r="D75" s="547">
        <f>COUNTIF([0]!Maj,"Orlov")</f>
        <v>0</v>
      </c>
      <c r="E75" s="549"/>
      <c r="F75" s="556"/>
      <c r="G75" s="556"/>
      <c r="H75" s="556"/>
      <c r="I75" s="542" t="s">
        <v>334</v>
      </c>
      <c r="J75" s="542"/>
      <c r="K75" s="542"/>
      <c r="L75" s="542"/>
      <c r="M75" s="515">
        <f>IF(Stamoplysninger!$B$26="Der er indgået lokalaftale omkring weekendtimer.(Kræver aftale med TR/FSL) Weekendtillæg afspadseres.",O70,0)</f>
        <v>0</v>
      </c>
      <c r="N75" s="515">
        <f>IF(Stamoplysninger!$B$26="Der er indgået lokalaftale omkring weekendtimer.(Kræver aftale med TR/FSL) Weekendtillæg afspadseres.",N68,0)</f>
        <v>0</v>
      </c>
      <c r="O75" s="463"/>
      <c r="P75" s="354"/>
      <c r="Q75" s="465"/>
      <c r="R75" s="234"/>
      <c r="S75" s="234"/>
      <c r="T75" s="234"/>
      <c r="U75" s="234"/>
      <c r="V75" s="234"/>
      <c r="W75" s="122"/>
      <c r="X75" s="122"/>
      <c r="Y75"/>
      <c r="Z75"/>
      <c r="AM75" s="1"/>
      <c r="BJ75" s="1"/>
      <c r="BU75" s="253"/>
      <c r="BV75" s="253"/>
      <c r="CY75"/>
      <c r="CZ75"/>
    </row>
    <row r="76" spans="1:109" hidden="1">
      <c r="A76" s="547" t="s">
        <v>161</v>
      </c>
      <c r="B76" s="547"/>
      <c r="C76" s="547"/>
      <c r="D76" s="547">
        <f>COUNTIF([0]!Maj,"Ikke relevant")</f>
        <v>0</v>
      </c>
      <c r="E76" s="549"/>
      <c r="F76" s="547" t="s">
        <v>199</v>
      </c>
      <c r="G76" s="547">
        <f>COUNTIFS($B$9:$B$39,"ma",[0]!Maj,"Skema 3")</f>
        <v>0</v>
      </c>
      <c r="H76" s="547">
        <v>1</v>
      </c>
      <c r="I76" s="542" t="s">
        <v>335</v>
      </c>
      <c r="J76" s="542"/>
      <c r="K76" s="542"/>
      <c r="L76" s="542"/>
      <c r="M76" s="515">
        <f>IF(Stamoplysninger!$B$26="Der er indgået lokalaftale omkring weekendtimer(Kræver aftale med TR/FSL). Weekendtillæg udbetales.",O70,0)</f>
        <v>0</v>
      </c>
      <c r="N76" s="515">
        <f>IF(Stamoplysninger!$B$26="Der er indgået lokalaftale omkring weekendtimer(Kræver aftale med TR/FSL). Weekendtillæg udbetales.",N68,0)</f>
        <v>0</v>
      </c>
      <c r="O76" s="463"/>
      <c r="P76" s="354"/>
      <c r="Q76" s="465"/>
      <c r="R76" s="234"/>
      <c r="S76" s="234"/>
      <c r="T76" s="234"/>
      <c r="U76" s="234"/>
      <c r="V76" s="234"/>
      <c r="W76" s="122"/>
      <c r="X76" s="122"/>
      <c r="Y76"/>
      <c r="Z76"/>
      <c r="AM76" s="1"/>
      <c r="BJ76" s="1"/>
      <c r="BU76" s="253"/>
      <c r="BV76" s="253"/>
      <c r="CY76"/>
      <c r="CZ76"/>
    </row>
    <row r="77" spans="1:109" hidden="1">
      <c r="A77" s="547" t="s">
        <v>109</v>
      </c>
      <c r="B77" s="547"/>
      <c r="C77" s="547"/>
      <c r="D77" s="547">
        <f>SUM(D64:D76)</f>
        <v>31</v>
      </c>
      <c r="E77" s="547"/>
      <c r="F77" s="547" t="s">
        <v>200</v>
      </c>
      <c r="G77" s="547">
        <f>COUNTIFS($B$9:$B$39,"ti",[0]!Maj,"Skema 3")</f>
        <v>0</v>
      </c>
      <c r="H77" s="547">
        <v>2</v>
      </c>
      <c r="I77" s="542" t="s">
        <v>487</v>
      </c>
      <c r="J77" s="542"/>
      <c r="K77" s="542"/>
      <c r="L77" s="542"/>
      <c r="M77" s="515">
        <f>IF(Stamoplysninger!$B$26="Der er indgået lokalaftale omkring weekendtimer.(Kræver aftale med TR/FSL) Weekendtillæg afspadseres.",M68,0)</f>
        <v>0</v>
      </c>
      <c r="N77" s="515">
        <f>IF(Stamoplysninger!$B$26="Der er indgået lokalaftale omkring weekendtimer.(Kræver aftale med TR/FSL) Weekendtillæg afspadseres.",O70,0)</f>
        <v>0</v>
      </c>
      <c r="O77" s="44"/>
      <c r="P77" s="44"/>
      <c r="Q77" s="44"/>
      <c r="R77" s="44"/>
      <c r="S77" s="44"/>
      <c r="T77" s="44"/>
      <c r="Y77"/>
      <c r="Z77" s="1"/>
      <c r="AX77" s="1"/>
      <c r="BI77" s="253"/>
      <c r="BJ77" s="253"/>
      <c r="CY77"/>
      <c r="CZ77"/>
    </row>
    <row r="78" spans="1:109" hidden="1">
      <c r="A78" s="547" t="s">
        <v>242</v>
      </c>
      <c r="B78" s="547"/>
      <c r="C78" s="547"/>
      <c r="D78" s="547">
        <f>D77-D71-A87-D76</f>
        <v>23</v>
      </c>
      <c r="E78" s="557"/>
      <c r="F78" s="547" t="s">
        <v>201</v>
      </c>
      <c r="G78" s="547">
        <f>COUNTIFS($B$9:$B$39,"on",[0]!Maj,"Skema 3")</f>
        <v>0</v>
      </c>
      <c r="H78" s="547"/>
      <c r="I78" s="542" t="s">
        <v>488</v>
      </c>
      <c r="J78" s="542"/>
      <c r="K78" s="542"/>
      <c r="L78" s="542"/>
      <c r="M78" s="515">
        <f>IF(Stamoplysninger!$B$26="Der er indgået lokalaftale omkring weekendtimer(Kræver aftale med TR/FSL). Weekendtillæg udbetales.",M68,0)</f>
        <v>0</v>
      </c>
      <c r="N78" s="515">
        <f>IF(Stamoplysninger!$B$26="Der er indgået lokalaftale omkring weekendtimer(Kræver aftale med TR/FSL). Weekendtillæg udbetales.",O70,0)</f>
        <v>0</v>
      </c>
      <c r="Y78"/>
      <c r="Z78" s="1"/>
      <c r="AX78" s="1"/>
      <c r="BI78" s="253"/>
      <c r="BJ78" s="253"/>
      <c r="CY78"/>
      <c r="CZ78"/>
    </row>
    <row r="79" spans="1:109" hidden="1">
      <c r="A79" s="547"/>
      <c r="B79" s="547"/>
      <c r="C79" s="547"/>
      <c r="D79" s="547"/>
      <c r="E79" s="547"/>
      <c r="F79" s="547" t="s">
        <v>202</v>
      </c>
      <c r="G79" s="547">
        <f>COUNTIFS($B$9:$B$39,"to",[0]!Maj,"Skema 3")</f>
        <v>0</v>
      </c>
      <c r="H79" s="547"/>
      <c r="I79" s="542" t="s">
        <v>336</v>
      </c>
      <c r="J79" s="542"/>
      <c r="K79" s="542"/>
      <c r="L79" s="542"/>
      <c r="M79" s="517">
        <f>IF(Stamoplysninger!$B$26="Der er indgået lokalaftale omkring weekendtillæg(Kræver aftale med TR/FSL). Weekendtimerne afspadseres.",M68,0)</f>
        <v>0</v>
      </c>
      <c r="N79" s="517">
        <f>IF(Stamoplysninger!$B$26="Der er indgået lokalaftale omkring weekendtillæg(Kræver aftale med TR/FSL). Weekendtimerne afspadseres.",N68,0)</f>
        <v>0</v>
      </c>
      <c r="Y79"/>
      <c r="Z79" s="1"/>
      <c r="AO79" s="1"/>
      <c r="BL79" s="1"/>
      <c r="BW79" s="253"/>
      <c r="BX79" s="253"/>
      <c r="CY79"/>
      <c r="CZ79"/>
    </row>
    <row r="80" spans="1:109" hidden="1">
      <c r="A80" s="547"/>
      <c r="B80" s="547"/>
      <c r="C80" s="547"/>
      <c r="D80" s="547"/>
      <c r="E80" s="547"/>
      <c r="F80" s="547" t="s">
        <v>203</v>
      </c>
      <c r="G80" s="547">
        <f>COUNTIFS($B$9:$B$39,"fr",[0]!Maj,"Skema 3")</f>
        <v>0</v>
      </c>
      <c r="H80" s="547">
        <v>1</v>
      </c>
      <c r="I80" s="542" t="s">
        <v>337</v>
      </c>
      <c r="J80" s="542"/>
      <c r="K80" s="542"/>
      <c r="L80" s="542"/>
      <c r="M80" s="517">
        <f>IF(Stamoplysninger!$B$26="Der er indgået lokalaftale omkring weekendtillæg(Kræver aftale med TR/FSL). Weekendtimerne udbetales.",M68,0)</f>
        <v>0</v>
      </c>
      <c r="N80" s="517">
        <f>IF(Stamoplysninger!$B$26="Der er indgået lokalaftale omkring weekendtillæg(Kræver aftale med TR/FSL). Weekendtimerne udbetales.",N68,0)</f>
        <v>0</v>
      </c>
      <c r="Y80"/>
      <c r="Z80" s="1"/>
      <c r="AO80" s="1"/>
      <c r="BL80" s="1"/>
      <c r="BW80" s="253"/>
      <c r="BX80" s="253"/>
      <c r="CY80"/>
      <c r="CZ80"/>
    </row>
    <row r="81" spans="1:111" hidden="1">
      <c r="A81" s="547" t="s">
        <v>298</v>
      </c>
      <c r="B81" s="547"/>
      <c r="C81" s="547"/>
      <c r="D81" s="547"/>
      <c r="E81" s="547"/>
      <c r="F81" s="547"/>
      <c r="G81" s="547"/>
      <c r="H81" s="547">
        <v>2</v>
      </c>
      <c r="I81" s="542" t="s">
        <v>489</v>
      </c>
      <c r="J81" s="542"/>
      <c r="K81" s="542"/>
      <c r="L81" s="542"/>
      <c r="M81" s="517">
        <f>IF(Stamoplysninger!$B$26="Der er indgået lokalaftale omkring weekendtillæg(Kræver aftale med TR/FSL). Weekendtimerne afspadseres.",M68,0)</f>
        <v>0</v>
      </c>
      <c r="N81" s="517">
        <f>IF(Stamoplysninger!$B$26="Der er indgået lokalaftale omkring weekendtillæg(Kræver aftale med TR/FSL). Weekendtimerne afspadseres.",N68,0)</f>
        <v>0</v>
      </c>
      <c r="Y81"/>
      <c r="Z81" s="1"/>
      <c r="AO81" s="1"/>
      <c r="BL81" s="1"/>
      <c r="BW81" s="253"/>
      <c r="BX81" s="253"/>
      <c r="CY81"/>
      <c r="CZ81"/>
    </row>
    <row r="82" spans="1:111" hidden="1">
      <c r="A82" s="547"/>
      <c r="B82" s="547"/>
      <c r="C82" s="547"/>
      <c r="D82" s="547"/>
      <c r="E82" s="547"/>
      <c r="F82" s="547" t="s">
        <v>204</v>
      </c>
      <c r="G82" s="547">
        <f>COUNTIFS($B$9:$B$39,"ma",[0]!Maj,"Skema 4")</f>
        <v>0</v>
      </c>
      <c r="H82" s="547"/>
      <c r="I82" s="542" t="s">
        <v>490</v>
      </c>
      <c r="J82" s="542"/>
      <c r="K82" s="542"/>
      <c r="L82" s="542"/>
      <c r="M82" s="517">
        <f>IF(Stamoplysninger!$B$26="Der er indgået lokalaftale omkring weekendtillæg(Kræver aftale med TR/FSL). Weekendtimerne udbetales.",M68,0)</f>
        <v>0</v>
      </c>
      <c r="N82" s="517">
        <f>IF(Stamoplysninger!$B$26="Der er indgået lokalaftale omkring weekendtillæg(Kræver aftale med TR/FSL). Weekendtimerne udbetales.",N68,0)</f>
        <v>0</v>
      </c>
      <c r="Y82"/>
      <c r="Z82" s="1"/>
      <c r="AO82" s="1"/>
      <c r="BL82" s="1"/>
      <c r="BW82" s="253"/>
      <c r="BX82" s="253"/>
      <c r="CY82"/>
      <c r="CZ82"/>
    </row>
    <row r="83" spans="1:111" hidden="1">
      <c r="A83" s="547">
        <f>COUNTIF(C12:C13,"Skema 1")+COUNTIF(C12:C13,"Skema 2")+COUNTIF(C12:C13,"Skema 3")+COUNTIF(C12:C13,"Skema 4")+COUNTIF(C12:C13,"Fagdag")+COUNTIF(C12:C13,"Emnedag")+COUNTIF(C12:C13,"Lejrskole")+COUNTIF(C12:C13,"Ekskursion")+COUNTIF(C12:C13,"Pæd.dag")</f>
        <v>0</v>
      </c>
      <c r="B83" s="547"/>
      <c r="C83" s="547"/>
      <c r="D83" s="547"/>
      <c r="E83" s="547"/>
      <c r="F83" s="547" t="s">
        <v>205</v>
      </c>
      <c r="G83" s="547">
        <f>COUNTIFS($B$9:$B$39,"ti",[0]!Maj,"Skema 4")</f>
        <v>0</v>
      </c>
      <c r="H83" s="547"/>
      <c r="I83" s="122" t="s">
        <v>486</v>
      </c>
      <c r="M83" s="463">
        <f>IF(Stamoplysninger!$B$26="Der er indgået lokalaftale omkring weekendtimer og weekendtillæg.(Kræver aftale med TR/FSL).",M68,0)</f>
        <v>0</v>
      </c>
      <c r="N83" s="463"/>
      <c r="Y83"/>
      <c r="Z83" s="1"/>
      <c r="AO83" s="1"/>
      <c r="BL83" s="1"/>
      <c r="BW83" s="253"/>
      <c r="BX83" s="253"/>
      <c r="CY83"/>
      <c r="CZ83"/>
    </row>
    <row r="84" spans="1:111" hidden="1">
      <c r="A84" s="547">
        <f>COUNTIF(C19:C20,"Skema 1")+COUNTIF(C19:C20,"Skema 2")+COUNTIF(C19:C20,"Skema 3")+COUNTIF(C19:C20,"Skema 4")+COUNTIF(C19:C20,"Fagdag")+COUNTIF(C19:C20,"Emnedag")+COUNTIF(C19:C20,"Lejrskole")+COUNTIF(C19:C20,"Ekskursion")+COUNTIF(C19:C20,"Pæd.dag")</f>
        <v>0</v>
      </c>
      <c r="B84" s="547"/>
      <c r="C84" s="547"/>
      <c r="D84" s="547"/>
      <c r="E84" s="547"/>
      <c r="F84" s="547" t="s">
        <v>206</v>
      </c>
      <c r="G84" s="547">
        <f>COUNTIFS($B$9:$B$39,"on",[0]!Maj,"Skema 4")</f>
        <v>0</v>
      </c>
      <c r="H84" s="547"/>
      <c r="I84" s="127"/>
      <c r="J84" s="477"/>
      <c r="K84" s="477"/>
      <c r="L84" s="477"/>
      <c r="Y84"/>
      <c r="Z84" s="1"/>
      <c r="AO84" s="1"/>
      <c r="BL84" s="1"/>
      <c r="BW84" s="253"/>
      <c r="BX84" s="253"/>
      <c r="CY84"/>
      <c r="CZ84"/>
    </row>
    <row r="85" spans="1:111" hidden="1">
      <c r="A85" s="547">
        <f>COUNTIF(C26:C27,"Skema 1")+COUNTIF(C26:C27,"Skema 2")+COUNTIF(C26:C27,"Skema 3")+COUNTIF(C26:C27,"Skema 4")+COUNTIF(C26:C27,"Fagdag")+COUNTIF(C26:C27,"Emnedag")+COUNTIF(C26:C27,"Lejrskole")+COUNTIF(C26:C27,"Ekskursion")+COUNTIF(C26:C27,"Pæd.dag")</f>
        <v>0</v>
      </c>
      <c r="B85" s="547"/>
      <c r="C85" s="547"/>
      <c r="D85" s="547"/>
      <c r="E85" s="547"/>
      <c r="F85" s="547" t="s">
        <v>207</v>
      </c>
      <c r="G85" s="547">
        <f>COUNTIFS($B$9:$B$39,"to",[0]!Maj,"Skema 4")</f>
        <v>0</v>
      </c>
      <c r="H85" s="547"/>
      <c r="I85" s="127"/>
      <c r="J85" s="477"/>
      <c r="K85" s="477"/>
      <c r="L85" s="477"/>
      <c r="Y85"/>
      <c r="Z85"/>
      <c r="AO85" s="1">
        <f>SUM(N85:AN85)</f>
        <v>0</v>
      </c>
      <c r="BL85" s="1">
        <f>SUM(AI85:BK85)</f>
        <v>0</v>
      </c>
      <c r="BW85" s="253"/>
      <c r="BX85" s="253"/>
      <c r="CY85"/>
      <c r="CZ85"/>
    </row>
    <row r="86" spans="1:111" hidden="1">
      <c r="A86" s="547">
        <f>COUNTIF(C33:C34,"Skema 1")+COUNTIF(C33:C34,"Skema 2")+COUNTIF(C33:C34,"Skema 3")+COUNTIF(C33:C34,"Skema 4")+COUNTIF(C33:C34,"Fagdag")+COUNTIF(C33:C34,"Emnedag")+COUNTIF(C33:C34,"Lejrskole")+COUNTIF(C33:C34,"Ekskursion")+COUNTIF(C33:C34,"Pæd.dag")</f>
        <v>0</v>
      </c>
      <c r="B86" s="547"/>
      <c r="C86" s="547"/>
      <c r="D86" s="547"/>
      <c r="E86" s="547"/>
      <c r="F86" s="547" t="s">
        <v>208</v>
      </c>
      <c r="G86" s="547">
        <f>COUNTIFS($B$9:$B$39,"fr",[0]!Maj,"Skema 4")</f>
        <v>0</v>
      </c>
      <c r="H86" s="547"/>
      <c r="I86" s="44"/>
      <c r="J86" s="477"/>
      <c r="K86" s="477"/>
      <c r="L86" s="477"/>
      <c r="Y86"/>
      <c r="Z86"/>
      <c r="AO86" s="1">
        <f>SUM(N86:AN86)</f>
        <v>0</v>
      </c>
      <c r="BL86" s="1">
        <f>SUM(AI86:BK86)</f>
        <v>0</v>
      </c>
      <c r="BW86" s="253"/>
      <c r="BX86" s="253"/>
      <c r="CY86"/>
      <c r="CZ86"/>
    </row>
    <row r="87" spans="1:111" hidden="1">
      <c r="A87" s="547">
        <f>SUM(A82:A86)</f>
        <v>0</v>
      </c>
      <c r="B87" s="547"/>
      <c r="C87" s="547"/>
      <c r="D87" s="547"/>
      <c r="E87" s="547"/>
      <c r="F87" s="547"/>
      <c r="G87" s="555">
        <f>SUM(G64:G86)</f>
        <v>20</v>
      </c>
      <c r="H87" s="552"/>
      <c r="I87" s="44"/>
      <c r="J87" s="477"/>
      <c r="K87" s="477"/>
      <c r="L87" s="477"/>
      <c r="Y87"/>
      <c r="Z87"/>
      <c r="AO87" s="1">
        <f>SUM(N87:AN87)</f>
        <v>0</v>
      </c>
      <c r="BL87" s="1">
        <f>SUM(AI87:BK87)</f>
        <v>0</v>
      </c>
      <c r="BW87" s="253"/>
      <c r="BX87" s="253"/>
      <c r="CY87"/>
      <c r="CZ87"/>
    </row>
    <row r="88" spans="1:111" hidden="1">
      <c r="A88" s="552"/>
      <c r="B88" s="552"/>
      <c r="C88" s="552"/>
      <c r="D88" s="552"/>
      <c r="E88" s="547"/>
      <c r="F88" s="547"/>
      <c r="G88" s="547"/>
      <c r="H88" s="552"/>
      <c r="I88" s="477"/>
      <c r="J88" s="477"/>
      <c r="K88" s="477"/>
      <c r="L88" s="477"/>
      <c r="Y88"/>
      <c r="Z88"/>
      <c r="AO88" s="1">
        <f>SUM(N88:AN88)</f>
        <v>0</v>
      </c>
      <c r="BL88" s="1">
        <f>SUM(AI88:BK88)</f>
        <v>0</v>
      </c>
      <c r="BW88" s="253"/>
      <c r="BX88" s="253"/>
      <c r="CY88"/>
      <c r="CZ88"/>
    </row>
    <row r="89" spans="1:111">
      <c r="A89" s="552"/>
      <c r="B89" s="552"/>
      <c r="C89" s="552"/>
      <c r="D89" s="552"/>
      <c r="E89" s="547"/>
      <c r="F89" s="547"/>
      <c r="G89" s="547"/>
      <c r="H89" s="552"/>
      <c r="I89" s="477"/>
      <c r="J89" s="477"/>
      <c r="K89" s="477"/>
      <c r="L89" s="477"/>
      <c r="Y89"/>
      <c r="Z89"/>
      <c r="BW89" s="253"/>
      <c r="BX89" s="253"/>
      <c r="CY89"/>
      <c r="CZ89"/>
    </row>
    <row r="90" spans="1:111">
      <c r="A90" s="552"/>
      <c r="B90" s="552"/>
      <c r="C90" s="552"/>
      <c r="D90" s="552"/>
      <c r="E90" s="547"/>
      <c r="F90" s="547"/>
      <c r="G90" s="547"/>
      <c r="H90" s="552"/>
      <c r="I90" s="477"/>
      <c r="J90" s="477"/>
      <c r="K90" s="477"/>
      <c r="L90" s="477"/>
      <c r="Y90"/>
      <c r="Z90"/>
      <c r="BW90" s="253"/>
      <c r="BX90" s="253"/>
      <c r="CY90"/>
      <c r="CZ90"/>
    </row>
    <row r="91" spans="1:111">
      <c r="A91" s="552"/>
      <c r="B91" s="552"/>
      <c r="C91" s="552"/>
      <c r="D91" s="552"/>
      <c r="E91" s="547"/>
      <c r="F91" s="547"/>
      <c r="G91" s="547"/>
      <c r="H91" s="552"/>
      <c r="I91" s="477"/>
      <c r="J91" s="477"/>
      <c r="K91" s="477"/>
      <c r="L91" s="477"/>
      <c r="Y91"/>
      <c r="Z91"/>
      <c r="BW91" s="253"/>
      <c r="BX91" s="253"/>
      <c r="CY91"/>
      <c r="CZ91"/>
    </row>
    <row r="92" spans="1:111">
      <c r="A92" s="552"/>
      <c r="B92" s="552"/>
      <c r="C92" s="552"/>
      <c r="D92" s="552"/>
      <c r="E92" s="547"/>
      <c r="F92" s="547"/>
      <c r="G92" s="547"/>
      <c r="H92" s="552"/>
      <c r="I92" s="477"/>
      <c r="J92" s="477"/>
      <c r="K92" s="477"/>
      <c r="L92" s="477"/>
      <c r="Y92"/>
      <c r="Z92"/>
      <c r="BW92" s="253"/>
      <c r="BX92" s="253"/>
      <c r="CY92"/>
      <c r="CZ92"/>
    </row>
    <row r="93" spans="1:111">
      <c r="A93" s="552"/>
      <c r="B93" s="552"/>
      <c r="C93" s="552"/>
      <c r="D93" s="552"/>
      <c r="E93" s="547"/>
      <c r="F93" s="547"/>
      <c r="G93" s="547"/>
      <c r="H93" s="552"/>
      <c r="I93" s="477"/>
      <c r="J93" s="477"/>
      <c r="K93" s="477"/>
      <c r="L93" s="477"/>
      <c r="Y93"/>
      <c r="Z93"/>
      <c r="AF93" s="235"/>
      <c r="BW93" s="253"/>
      <c r="BX93" s="253"/>
      <c r="CY93"/>
      <c r="CZ93"/>
    </row>
    <row r="94" spans="1:111">
      <c r="A94" s="552"/>
      <c r="B94" s="552"/>
      <c r="C94" s="552"/>
      <c r="D94" s="552"/>
      <c r="E94" s="547"/>
      <c r="F94" s="547"/>
      <c r="G94" s="547"/>
      <c r="H94" s="552"/>
      <c r="I94" s="477"/>
      <c r="J94" s="477"/>
      <c r="K94" s="477"/>
      <c r="L94" s="477"/>
      <c r="Y94"/>
      <c r="Z94"/>
      <c r="AD94" s="4"/>
      <c r="AE94" s="235"/>
      <c r="AF94" s="235"/>
      <c r="AG94" s="235"/>
      <c r="AH94" s="235"/>
      <c r="CY94"/>
      <c r="CZ94"/>
      <c r="DF94" s="253"/>
      <c r="DG94" s="253"/>
    </row>
    <row r="95" spans="1:111">
      <c r="A95" s="552"/>
      <c r="B95" s="552"/>
      <c r="C95" s="552"/>
      <c r="D95" s="552"/>
      <c r="E95" s="547"/>
      <c r="F95" s="547"/>
      <c r="G95" s="547"/>
      <c r="H95" s="552"/>
      <c r="I95" s="477"/>
      <c r="J95" s="477"/>
      <c r="K95" s="477"/>
      <c r="L95" s="477"/>
      <c r="Y95"/>
      <c r="Z95"/>
      <c r="AD95" s="4"/>
      <c r="AE95" s="235"/>
      <c r="AG95" s="235"/>
      <c r="AH95" s="235"/>
      <c r="CY95"/>
      <c r="CZ95"/>
      <c r="DF95" s="253"/>
      <c r="DG95" s="253"/>
    </row>
    <row r="96" spans="1:111">
      <c r="A96" s="552"/>
      <c r="B96" s="552"/>
      <c r="C96" s="552"/>
      <c r="D96" s="552"/>
      <c r="E96" s="547"/>
      <c r="F96" s="547"/>
      <c r="G96" s="547"/>
      <c r="H96" s="552"/>
      <c r="I96" s="477"/>
      <c r="J96" s="477"/>
      <c r="K96" s="477"/>
      <c r="L96" s="477"/>
    </row>
    <row r="97" spans="1:8">
      <c r="A97" s="552"/>
      <c r="B97" s="552"/>
      <c r="C97" s="552"/>
      <c r="D97" s="552"/>
      <c r="E97" s="547"/>
      <c r="F97" s="547"/>
      <c r="G97" s="547"/>
      <c r="H97" s="552"/>
    </row>
    <row r="98" spans="1:8">
      <c r="A98" s="552"/>
      <c r="B98" s="552"/>
      <c r="C98" s="552"/>
      <c r="D98" s="552"/>
      <c r="E98" s="552"/>
      <c r="F98" s="552"/>
      <c r="G98" s="552"/>
      <c r="H98" s="552"/>
    </row>
  </sheetData>
  <sheetProtection sheet="1" objects="1" scenarios="1"/>
  <mergeCells count="142">
    <mergeCell ref="A61:B61"/>
    <mergeCell ref="A55:G55"/>
    <mergeCell ref="I55:K55"/>
    <mergeCell ref="I58:K58"/>
    <mergeCell ref="A59:B59"/>
    <mergeCell ref="C59:D59"/>
    <mergeCell ref="E59:G59"/>
    <mergeCell ref="I59:K59"/>
    <mergeCell ref="A60:B60"/>
    <mergeCell ref="C60:D60"/>
    <mergeCell ref="E60:G60"/>
    <mergeCell ref="I60:K60"/>
    <mergeCell ref="C61:D61"/>
    <mergeCell ref="E61:G61"/>
    <mergeCell ref="I61:K61"/>
    <mergeCell ref="I53:K53"/>
    <mergeCell ref="M53:U53"/>
    <mergeCell ref="V53:X53"/>
    <mergeCell ref="I54:K54"/>
    <mergeCell ref="B2:E2"/>
    <mergeCell ref="E4:G4"/>
    <mergeCell ref="K4:L4"/>
    <mergeCell ref="A5:R5"/>
    <mergeCell ref="P6:P7"/>
    <mergeCell ref="Q6:Q7"/>
    <mergeCell ref="R6:R7"/>
    <mergeCell ref="A4:D4"/>
    <mergeCell ref="S5:X5"/>
    <mergeCell ref="A3:X3"/>
    <mergeCell ref="E12:G12"/>
    <mergeCell ref="E13:G13"/>
    <mergeCell ref="E14:G14"/>
    <mergeCell ref="E15:G15"/>
    <mergeCell ref="E16:G16"/>
    <mergeCell ref="E23:G23"/>
    <mergeCell ref="E24:G24"/>
    <mergeCell ref="E11:G11"/>
    <mergeCell ref="K8:R8"/>
    <mergeCell ref="M52:U52"/>
    <mergeCell ref="V52:X52"/>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AG6:AK6"/>
    <mergeCell ref="E6:G8"/>
    <mergeCell ref="K6:L6"/>
    <mergeCell ref="N6:N7"/>
    <mergeCell ref="O6:O7"/>
    <mergeCell ref="E25:G25"/>
    <mergeCell ref="I8:J8"/>
    <mergeCell ref="AA6:AE6"/>
    <mergeCell ref="E29:G29"/>
    <mergeCell ref="E30:G30"/>
    <mergeCell ref="E31:G31"/>
    <mergeCell ref="E33:G33"/>
    <mergeCell ref="E34:G34"/>
    <mergeCell ref="E35:G35"/>
    <mergeCell ref="E26:G26"/>
    <mergeCell ref="I6:I7"/>
    <mergeCell ref="J6:J7"/>
    <mergeCell ref="S6:X6"/>
    <mergeCell ref="S8:U8"/>
    <mergeCell ref="V8:X8"/>
    <mergeCell ref="E17:G17"/>
    <mergeCell ref="E18:G18"/>
    <mergeCell ref="E19:G19"/>
    <mergeCell ref="E20:G20"/>
    <mergeCell ref="E21:G21"/>
    <mergeCell ref="E22:G22"/>
    <mergeCell ref="M45:U45"/>
    <mergeCell ref="E27:G27"/>
    <mergeCell ref="E28:G28"/>
    <mergeCell ref="V45:X45"/>
    <mergeCell ref="A49:H49"/>
    <mergeCell ref="I49:K49"/>
    <mergeCell ref="A42:G42"/>
    <mergeCell ref="I42:K42"/>
    <mergeCell ref="A43:G43"/>
    <mergeCell ref="I43:K43"/>
    <mergeCell ref="M42:X42"/>
    <mergeCell ref="M43:U43"/>
    <mergeCell ref="V43:X43"/>
    <mergeCell ref="M44:U44"/>
    <mergeCell ref="V44:X44"/>
    <mergeCell ref="E38:G38"/>
    <mergeCell ref="M50:U50"/>
    <mergeCell ref="V50:X50"/>
    <mergeCell ref="M51:U51"/>
    <mergeCell ref="V51:X51"/>
    <mergeCell ref="A50:H50"/>
    <mergeCell ref="I50:K50"/>
    <mergeCell ref="A46:G46"/>
    <mergeCell ref="I46:K46"/>
    <mergeCell ref="A47:G47"/>
    <mergeCell ref="I47:K47"/>
    <mergeCell ref="M46:U46"/>
    <mergeCell ref="A48:H48"/>
    <mergeCell ref="I48:K48"/>
    <mergeCell ref="V46:X46"/>
    <mergeCell ref="M47:X47"/>
    <mergeCell ref="M48:U48"/>
    <mergeCell ref="V48:X48"/>
    <mergeCell ref="M49:U49"/>
    <mergeCell ref="V49:X49"/>
    <mergeCell ref="A62:G62"/>
    <mergeCell ref="I62:K62"/>
    <mergeCell ref="A67:C67"/>
    <mergeCell ref="E32:G32"/>
    <mergeCell ref="A65:C65"/>
    <mergeCell ref="A66:C66"/>
    <mergeCell ref="I51:K51"/>
    <mergeCell ref="A56:K56"/>
    <mergeCell ref="A57:B57"/>
    <mergeCell ref="C57:D57"/>
    <mergeCell ref="E57:G57"/>
    <mergeCell ref="H57:K57"/>
    <mergeCell ref="A58:B58"/>
    <mergeCell ref="C58:D58"/>
    <mergeCell ref="E58:G58"/>
    <mergeCell ref="A44:G44"/>
    <mergeCell ref="I44:K44"/>
    <mergeCell ref="A45:G45"/>
    <mergeCell ref="I45:K45"/>
    <mergeCell ref="E36:G36"/>
    <mergeCell ref="E37:G37"/>
    <mergeCell ref="E39:G39"/>
    <mergeCell ref="A40:I40"/>
    <mergeCell ref="A53:G54"/>
  </mergeCells>
  <phoneticPr fontId="5" type="noConversion"/>
  <conditionalFormatting sqref="A9:H31 A32:E32 H32 A33:H39">
    <cfRule type="expression" dxfId="517" priority="56">
      <formula>OR($C9="ekskursion")</formula>
    </cfRule>
    <cfRule type="expression" dxfId="516" priority="62" stopIfTrue="1">
      <formula>OR($C9="Orlov")</formula>
    </cfRule>
    <cfRule type="expression" dxfId="515" priority="61">
      <formula>OR($C9="weekend")</formula>
    </cfRule>
    <cfRule type="expression" dxfId="514" priority="60">
      <formula>OR($C9="feriedag")</formula>
    </cfRule>
    <cfRule type="expression" dxfId="513" priority="59">
      <formula>OR($C9="fagdag")</formula>
    </cfRule>
    <cfRule type="expression" dxfId="512" priority="58">
      <formula>OR($C9="emnedag")</formula>
    </cfRule>
    <cfRule type="expression" dxfId="511" priority="57">
      <formula>OR($C9="lejrskole")</formula>
    </cfRule>
    <cfRule type="expression" dxfId="510" priority="55">
      <formula>OR($C9="SH-dag")</formula>
    </cfRule>
    <cfRule type="expression" dxfId="509" priority="54">
      <formula>OR($C9="nul-dag")</formula>
    </cfRule>
    <cfRule type="expression" dxfId="508" priority="53">
      <formula>OR($C9="pæd.dag")</formula>
    </cfRule>
    <cfRule type="expression" dxfId="507" priority="52">
      <formula>OR($C9="Ikke relevant")</formula>
    </cfRule>
    <cfRule type="expression" dxfId="506" priority="48">
      <formula>OR($C9="Skema 1")</formula>
    </cfRule>
    <cfRule type="expression" dxfId="505" priority="49">
      <formula>OR($C9="skema 2")</formula>
    </cfRule>
    <cfRule type="expression" dxfId="504" priority="50">
      <formula>OR($C9="Skema 3")</formula>
    </cfRule>
    <cfRule type="expression" dxfId="503" priority="51">
      <formula>OR($C9="Skema 4")</formula>
    </cfRule>
  </conditionalFormatting>
  <conditionalFormatting sqref="E20">
    <cfRule type="expression" dxfId="502" priority="64">
      <formula>OR($D19="nul-dag")</formula>
    </cfRule>
    <cfRule type="expression" dxfId="501" priority="65">
      <formula>OR($D19="SH-dag")</formula>
    </cfRule>
    <cfRule type="expression" dxfId="500" priority="66">
      <formula>OR($D19="ekskursion")</formula>
    </cfRule>
    <cfRule type="expression" dxfId="499" priority="67">
      <formula>OR($D19="lejrskole")</formula>
    </cfRule>
    <cfRule type="expression" dxfId="498" priority="63">
      <formula>OR($D19="pæd.dag")</formula>
    </cfRule>
    <cfRule type="expression" dxfId="497" priority="68">
      <formula>OR($D19="emnedag")</formula>
    </cfRule>
    <cfRule type="expression" dxfId="496" priority="69">
      <formula>OR($D19="fagdag")</formula>
    </cfRule>
    <cfRule type="expression" dxfId="495" priority="70">
      <formula>OR($D19="feriedag")</formula>
    </cfRule>
    <cfRule type="expression" dxfId="494" priority="71">
      <formula>OR($D19="weekend")</formula>
    </cfRule>
    <cfRule type="expression" dxfId="493" priority="72" stopIfTrue="1">
      <formula>OR($D19="skoledag")</formula>
    </cfRule>
    <cfRule type="expression" dxfId="492" priority="73">
      <formula>OR($D19="Ikke relevant")</formula>
    </cfRule>
  </conditionalFormatting>
  <conditionalFormatting sqref="H58:H61">
    <cfRule type="expression" dxfId="491" priority="1">
      <formula>OR($A58&gt;0,)</formula>
    </cfRule>
  </conditionalFormatting>
  <conditionalFormatting sqref="I58:I61">
    <cfRule type="expression" dxfId="490" priority="2">
      <formula>OR($C58&gt;0,)</formula>
    </cfRule>
  </conditionalFormatting>
  <conditionalFormatting sqref="K9:K39">
    <cfRule type="expression" dxfId="489" priority="45">
      <formula>OR($C9="Pæd.dag",)</formula>
    </cfRule>
  </conditionalFormatting>
  <conditionalFormatting sqref="K9:L39">
    <cfRule type="expression" dxfId="488" priority="47">
      <formula>OR($C9="Ekskursion",)</formula>
    </cfRule>
    <cfRule type="expression" dxfId="487" priority="46">
      <formula>OR($C9="Lejrskole",)</formula>
    </cfRule>
  </conditionalFormatting>
  <conditionalFormatting sqref="K9:M39">
    <cfRule type="expression" dxfId="486" priority="44">
      <formula>OR($C9="emnedag",)</formula>
    </cfRule>
    <cfRule type="expression" dxfId="485" priority="43">
      <formula>OR($C9="fagdag",)</formula>
    </cfRule>
  </conditionalFormatting>
  <conditionalFormatting sqref="R9:R39">
    <cfRule type="expression" dxfId="484" priority="74">
      <formula>OR($H9&gt;"0",)</formula>
    </cfRule>
  </conditionalFormatting>
  <conditionalFormatting sqref="V9:V39">
    <cfRule type="expression" dxfId="483" priority="10">
      <formula>OR($S9="X",)</formula>
    </cfRule>
  </conditionalFormatting>
  <conditionalFormatting sqref="V49:X52">
    <cfRule type="expression" dxfId="482" priority="3">
      <formula>OR($M49&gt;0,)</formula>
    </cfRule>
  </conditionalFormatting>
  <conditionalFormatting sqref="W9:W39">
    <cfRule type="expression" dxfId="481" priority="9">
      <formula>OR($T9="X",)</formula>
    </cfRule>
  </conditionalFormatting>
  <conditionalFormatting sqref="X9:X39">
    <cfRule type="expression" dxfId="480" priority="8">
      <formula>OR($U9="X",)</formula>
    </cfRule>
  </conditionalFormatting>
  <dataValidations count="3">
    <dataValidation type="list" allowBlank="1" showInputMessage="1" showErrorMessage="1" sqref="S9:T39 U9:U37 A58:D61" xr:uid="{9B78C96F-D852-524A-9D46-9E93C2474DE4}">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17 I19:I20 I26:I28 I12:I13 I33:I34" xr:uid="{51382E11-A09A-A742-87B3-F3A2F17558A4}">
      <formula1>$W$1:$W$2</formula1>
    </dataValidation>
    <dataValidation type="list" allowBlank="1" showInputMessage="1" showErrorMessage="1" promptTitle="OBS:" prompt="Ved arrangementer med overnatning ydes istedet for ulempe- og weekendgodtgørelse på hhv. 25% og 50% faste tillæg pr. påbegyndt dag. " sqref="J9:J39" xr:uid="{DE3CEED3-B62E-0F4F-83C7-8CE305409852}">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5C3FBC07-9BA5-1C47-B52A-8D8F8A56FABD}">
          <x14:formula1>
            <xm:f>August!$A$89:$A$103</xm:f>
          </x14:formula1>
          <xm:sqref>C9:C39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F35AF-DC64-A244-9A15-7CD8ED0948AA}">
  <sheetPr>
    <tabColor theme="4" tint="-0.249977111117893"/>
    <pageSetUpPr fitToPage="1"/>
  </sheetPr>
  <dimension ref="A1:DN97"/>
  <sheetViews>
    <sheetView zoomScale="90" workbookViewId="0">
      <selection activeCell="G96" sqref="G96"/>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8" width="10.83203125" hidden="1" customWidth="1"/>
    <col min="119" max="147"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94"/>
      <c r="Y1"/>
      <c r="Z1" s="94"/>
      <c r="AB1" s="94"/>
      <c r="AC1" s="94"/>
      <c r="AH1" s="94"/>
      <c r="AI1" s="94"/>
      <c r="CX1" s="253"/>
      <c r="CZ1"/>
    </row>
    <row r="2" spans="1:118" ht="20">
      <c r="A2" s="96">
        <v>6</v>
      </c>
      <c r="B2" s="1009"/>
      <c r="C2" s="1009"/>
      <c r="D2" s="1009"/>
      <c r="E2" s="1009"/>
      <c r="F2" s="94"/>
      <c r="G2" s="94"/>
      <c r="H2" s="292"/>
      <c r="I2" s="291"/>
      <c r="J2" s="234"/>
      <c r="K2" s="234"/>
      <c r="L2" s="234"/>
      <c r="M2" s="234"/>
      <c r="N2" s="234"/>
      <c r="O2" s="234"/>
      <c r="P2" s="94"/>
      <c r="Q2" s="94"/>
      <c r="R2" s="94"/>
      <c r="S2" s="94"/>
      <c r="T2" s="94"/>
      <c r="U2" s="94"/>
      <c r="V2" s="94"/>
      <c r="W2" s="127" t="s">
        <v>31</v>
      </c>
      <c r="X2" s="127" t="s">
        <v>31</v>
      </c>
      <c r="Y2"/>
      <c r="Z2" s="94"/>
      <c r="AA2" s="94"/>
      <c r="AE2" s="94"/>
      <c r="AG2" s="94"/>
      <c r="CV2" s="253"/>
      <c r="CW2" s="253"/>
      <c r="CY2"/>
      <c r="CZ2"/>
    </row>
    <row r="3" spans="1:118">
      <c r="A3" s="1022" t="s">
        <v>316</v>
      </c>
      <c r="B3" s="1023"/>
      <c r="C3" s="1023"/>
      <c r="D3" s="1023"/>
      <c r="E3" s="1023"/>
      <c r="F3" s="1023"/>
      <c r="G3" s="1023"/>
      <c r="H3" s="1023"/>
      <c r="I3" s="1023"/>
      <c r="J3" s="1023"/>
      <c r="K3" s="1023"/>
      <c r="L3" s="1023"/>
      <c r="M3" s="1023"/>
      <c r="N3" s="1023"/>
      <c r="O3" s="1023"/>
      <c r="P3" s="1023"/>
      <c r="Q3" s="1023"/>
      <c r="R3" s="1023"/>
      <c r="S3" s="1023"/>
      <c r="T3" s="1023"/>
      <c r="U3" s="1023"/>
      <c r="V3" s="1023"/>
      <c r="W3" s="1023"/>
      <c r="X3" s="1024"/>
      <c r="Y3" s="94"/>
      <c r="Z3"/>
      <c r="AC3" s="94"/>
      <c r="AD3" s="94"/>
      <c r="AF3" s="94"/>
      <c r="CT3" s="253"/>
      <c r="CU3" s="253"/>
      <c r="CY3"/>
      <c r="CZ3"/>
    </row>
    <row r="4" spans="1:118" ht="254" customHeight="1" thickBot="1">
      <c r="A4" s="921" t="s">
        <v>463</v>
      </c>
      <c r="B4" s="922"/>
      <c r="C4" s="922"/>
      <c r="D4" s="922"/>
      <c r="E4" s="923" t="s">
        <v>317</v>
      </c>
      <c r="F4" s="923"/>
      <c r="G4" s="923"/>
      <c r="H4" s="293" t="s">
        <v>442</v>
      </c>
      <c r="I4" s="468" t="s">
        <v>511</v>
      </c>
      <c r="J4" s="468" t="s">
        <v>512</v>
      </c>
      <c r="K4" s="933" t="s">
        <v>579</v>
      </c>
      <c r="L4" s="933"/>
      <c r="M4" s="533" t="s">
        <v>499</v>
      </c>
      <c r="N4" s="533" t="s">
        <v>464</v>
      </c>
      <c r="O4" s="533" t="s">
        <v>465</v>
      </c>
      <c r="P4" s="534" t="s">
        <v>500</v>
      </c>
      <c r="Q4" s="534" t="s">
        <v>315</v>
      </c>
      <c r="R4" s="534" t="s">
        <v>466</v>
      </c>
      <c r="S4" s="535" t="s">
        <v>509</v>
      </c>
      <c r="T4" s="535" t="s">
        <v>467</v>
      </c>
      <c r="U4" s="535" t="s">
        <v>468</v>
      </c>
      <c r="V4" s="536" t="s">
        <v>501</v>
      </c>
      <c r="W4" s="536" t="s">
        <v>427</v>
      </c>
      <c r="X4" s="537" t="s">
        <v>426</v>
      </c>
      <c r="Y4" s="251"/>
      <c r="Z4" s="94"/>
      <c r="AB4" s="94"/>
      <c r="AC4" s="94"/>
      <c r="AH4" s="94"/>
      <c r="AI4" s="94"/>
      <c r="CX4" s="253"/>
      <c r="CZ4"/>
    </row>
    <row r="5" spans="1:118" ht="26" thickBot="1">
      <c r="A5" s="934" t="str">
        <f>""&amp;A7&amp;" måneds kalender for: "&amp;Stamoplysninger!E8&amp;". Måneden vedr. normperioden: "&amp;Stamoplysninger!E11&amp;" - "&amp;Stamoplysninger!G11&amp;"."</f>
        <v>Juni måneds kalender for: . Måneden vedr. normperioden:  - .</v>
      </c>
      <c r="B5" s="935"/>
      <c r="C5" s="935"/>
      <c r="D5" s="935"/>
      <c r="E5" s="935"/>
      <c r="F5" s="935"/>
      <c r="G5" s="935"/>
      <c r="H5" s="935"/>
      <c r="I5" s="935"/>
      <c r="J5" s="935"/>
      <c r="K5" s="935"/>
      <c r="L5" s="935"/>
      <c r="M5" s="935"/>
      <c r="N5" s="935"/>
      <c r="O5" s="935"/>
      <c r="P5" s="935"/>
      <c r="Q5" s="935"/>
      <c r="R5" s="935"/>
      <c r="S5" s="928" t="s">
        <v>424</v>
      </c>
      <c r="T5" s="929"/>
      <c r="U5" s="929"/>
      <c r="V5" s="929"/>
      <c r="W5" s="929"/>
      <c r="X5" s="930"/>
      <c r="Y5" s="251"/>
      <c r="Z5" s="94"/>
      <c r="AB5" s="94"/>
      <c r="AC5" s="94"/>
      <c r="AH5" s="94"/>
      <c r="AI5" s="94"/>
      <c r="CX5" s="253"/>
      <c r="CZ5"/>
    </row>
    <row r="6" spans="1:118" ht="47" customHeight="1">
      <c r="A6" s="346">
        <f>Januar!A6</f>
        <v>2024</v>
      </c>
      <c r="B6" s="246"/>
      <c r="C6" s="247"/>
      <c r="D6" s="248"/>
      <c r="E6" s="941" t="s">
        <v>516</v>
      </c>
      <c r="F6" s="942"/>
      <c r="G6" s="943"/>
      <c r="H6" s="343" t="s">
        <v>344</v>
      </c>
      <c r="I6" s="912" t="s">
        <v>510</v>
      </c>
      <c r="J6" s="939" t="s">
        <v>535</v>
      </c>
      <c r="K6" s="936" t="s">
        <v>309</v>
      </c>
      <c r="L6" s="937"/>
      <c r="M6" s="344" t="s">
        <v>310</v>
      </c>
      <c r="N6" s="912" t="s">
        <v>478</v>
      </c>
      <c r="O6" s="912" t="s">
        <v>314</v>
      </c>
      <c r="P6" s="912" t="s">
        <v>498</v>
      </c>
      <c r="Q6" s="912" t="s">
        <v>413</v>
      </c>
      <c r="R6" s="919" t="s">
        <v>580</v>
      </c>
      <c r="S6" s="913" t="s">
        <v>311</v>
      </c>
      <c r="T6" s="914"/>
      <c r="U6" s="914"/>
      <c r="V6" s="914"/>
      <c r="W6" s="914"/>
      <c r="X6" s="915"/>
      <c r="Y6" s="216"/>
      <c r="Z6" s="216"/>
      <c r="AA6" s="909" t="s">
        <v>264</v>
      </c>
      <c r="AB6" s="909"/>
      <c r="AC6" s="909"/>
      <c r="AD6" s="909"/>
      <c r="AE6" s="909"/>
      <c r="AF6" s="213"/>
      <c r="AG6" s="909" t="s">
        <v>225</v>
      </c>
      <c r="AH6" s="909"/>
      <c r="AI6" s="909"/>
      <c r="AJ6" s="909"/>
      <c r="AK6" s="909"/>
      <c r="AL6" s="909" t="s">
        <v>226</v>
      </c>
      <c r="AM6" s="909"/>
      <c r="AN6" s="909"/>
      <c r="AO6" s="909"/>
      <c r="AP6" s="909"/>
      <c r="AQ6" s="909" t="s">
        <v>227</v>
      </c>
      <c r="AR6" s="909"/>
      <c r="AS6" s="909"/>
      <c r="AT6" s="909"/>
      <c r="AU6" s="909"/>
      <c r="AV6" s="909" t="s">
        <v>228</v>
      </c>
      <c r="AW6" s="909"/>
      <c r="AX6" s="909"/>
      <c r="AY6" s="909"/>
      <c r="AZ6" s="909"/>
      <c r="BA6" s="314"/>
      <c r="BB6" s="213"/>
      <c r="BC6" s="909" t="s">
        <v>267</v>
      </c>
      <c r="BD6" s="909"/>
      <c r="BE6" s="909"/>
      <c r="BF6" s="909"/>
      <c r="BG6" s="909" t="s">
        <v>230</v>
      </c>
      <c r="BH6" s="909"/>
      <c r="BI6" s="909"/>
      <c r="BJ6" s="909"/>
      <c r="BK6" s="909"/>
      <c r="BL6" s="909" t="s">
        <v>231</v>
      </c>
      <c r="BM6" s="909"/>
      <c r="BN6" s="909"/>
      <c r="BO6" s="909"/>
      <c r="BP6" s="909"/>
      <c r="BQ6" s="909" t="s">
        <v>232</v>
      </c>
      <c r="BR6" s="909"/>
      <c r="BS6" s="909"/>
      <c r="BT6" s="909"/>
      <c r="BU6" s="909"/>
      <c r="BV6" s="909" t="s">
        <v>233</v>
      </c>
      <c r="BW6" s="909"/>
      <c r="BX6" s="909"/>
      <c r="BY6" s="909"/>
      <c r="BZ6" s="909"/>
      <c r="CD6" s="909" t="s">
        <v>268</v>
      </c>
      <c r="CE6" s="909"/>
      <c r="CF6" s="909"/>
      <c r="CG6" s="909"/>
      <c r="CH6" s="909"/>
      <c r="CI6" s="909" t="s">
        <v>270</v>
      </c>
      <c r="CJ6" s="909"/>
      <c r="CK6" s="909"/>
      <c r="CL6" s="909"/>
      <c r="CM6" s="909"/>
      <c r="CN6" s="909" t="s">
        <v>269</v>
      </c>
      <c r="CO6" s="909"/>
      <c r="CP6" s="909"/>
      <c r="CQ6" s="909"/>
      <c r="CR6" s="909"/>
      <c r="CS6" s="909" t="s">
        <v>271</v>
      </c>
      <c r="CT6" s="909"/>
      <c r="CU6" s="909"/>
      <c r="CV6" s="909"/>
      <c r="CW6" s="909"/>
      <c r="CX6" s="253"/>
      <c r="CZ6"/>
      <c r="DA6" s="682" t="s">
        <v>215</v>
      </c>
      <c r="DB6" s="682"/>
      <c r="DC6" s="682"/>
      <c r="DD6" s="682"/>
      <c r="DE6" s="682"/>
    </row>
    <row r="7" spans="1:118" ht="156" customHeight="1">
      <c r="A7" s="828" t="s">
        <v>291</v>
      </c>
      <c r="B7" s="829"/>
      <c r="C7" s="829"/>
      <c r="D7" s="830"/>
      <c r="E7" s="944"/>
      <c r="F7" s="945"/>
      <c r="G7" s="946"/>
      <c r="H7" s="910" t="s">
        <v>534</v>
      </c>
      <c r="I7" s="938"/>
      <c r="J7" s="940"/>
      <c r="K7" s="345" t="s">
        <v>581</v>
      </c>
      <c r="L7" s="345" t="s">
        <v>582</v>
      </c>
      <c r="M7" s="345" t="s">
        <v>583</v>
      </c>
      <c r="N7" s="911"/>
      <c r="O7" s="911"/>
      <c r="P7" s="911"/>
      <c r="Q7" s="911"/>
      <c r="R7" s="920"/>
      <c r="S7" s="539" t="s">
        <v>508</v>
      </c>
      <c r="T7" s="344" t="s">
        <v>313</v>
      </c>
      <c r="U7" s="344" t="s">
        <v>428</v>
      </c>
      <c r="V7" s="475" t="s">
        <v>470</v>
      </c>
      <c r="W7" s="475" t="s">
        <v>469</v>
      </c>
      <c r="X7" s="476" t="s">
        <v>425</v>
      </c>
      <c r="Y7" s="216" t="s">
        <v>282</v>
      </c>
      <c r="Z7" s="466" t="s">
        <v>283</v>
      </c>
      <c r="AA7" s="316" t="s">
        <v>214</v>
      </c>
      <c r="AB7" t="s">
        <v>137</v>
      </c>
      <c r="AC7" t="s">
        <v>140</v>
      </c>
      <c r="AD7" t="s">
        <v>139</v>
      </c>
      <c r="AE7" t="s">
        <v>138</v>
      </c>
      <c r="AF7" t="s">
        <v>444</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266</v>
      </c>
      <c r="BD7" t="s">
        <v>265</v>
      </c>
      <c r="BE7" t="s">
        <v>251</v>
      </c>
      <c r="BF7" t="s">
        <v>252</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254</v>
      </c>
      <c r="CC7" s="316" t="s">
        <v>255</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280</v>
      </c>
      <c r="CY7" s="253" t="s">
        <v>272</v>
      </c>
      <c r="CZ7" s="253" t="s">
        <v>273</v>
      </c>
      <c r="DA7" s="253" t="s">
        <v>274</v>
      </c>
      <c r="DB7" s="253" t="s">
        <v>275</v>
      </c>
      <c r="DC7" s="253" t="s">
        <v>276</v>
      </c>
      <c r="DD7" s="253" t="s">
        <v>277</v>
      </c>
      <c r="DE7" s="253" t="s">
        <v>278</v>
      </c>
      <c r="DF7" s="253" t="s">
        <v>279</v>
      </c>
      <c r="DG7" s="253"/>
    </row>
    <row r="8" spans="1:118" ht="20" customHeight="1">
      <c r="A8" s="831"/>
      <c r="B8" s="832"/>
      <c r="C8" s="832"/>
      <c r="D8" s="833"/>
      <c r="E8" s="947"/>
      <c r="F8" s="948"/>
      <c r="G8" s="949"/>
      <c r="H8" s="911"/>
      <c r="I8" s="931" t="s">
        <v>409</v>
      </c>
      <c r="J8" s="918"/>
      <c r="K8" s="931" t="s">
        <v>346</v>
      </c>
      <c r="L8" s="917"/>
      <c r="M8" s="917"/>
      <c r="N8" s="917"/>
      <c r="O8" s="917"/>
      <c r="P8" s="917"/>
      <c r="Q8" s="917"/>
      <c r="R8" s="917"/>
      <c r="S8" s="916" t="s">
        <v>409</v>
      </c>
      <c r="T8" s="917"/>
      <c r="U8" s="918"/>
      <c r="V8" s="998" t="s">
        <v>410</v>
      </c>
      <c r="W8" s="999"/>
      <c r="X8" s="1000"/>
      <c r="Y8" s="216"/>
      <c r="Z8" s="466"/>
      <c r="AA8" s="316"/>
      <c r="BB8" s="232"/>
      <c r="CA8" s="116"/>
      <c r="CB8" s="238"/>
      <c r="CC8" s="316"/>
      <c r="CX8" s="253"/>
      <c r="DA8" s="253"/>
      <c r="DB8" s="253"/>
      <c r="DC8" s="253"/>
      <c r="DD8" s="253"/>
      <c r="DE8" s="253"/>
      <c r="DF8" s="253"/>
      <c r="DG8" s="253"/>
      <c r="DH8" t="s">
        <v>543</v>
      </c>
      <c r="DI8" t="s">
        <v>544</v>
      </c>
      <c r="DJ8" t="s">
        <v>545</v>
      </c>
    </row>
    <row r="9" spans="1:118">
      <c r="A9" s="249">
        <f>IF(ISNUMBER(A7),A7+1,1)</f>
        <v>1</v>
      </c>
      <c r="B9" s="132" t="str">
        <f t="shared" ref="B9:B38" si="0">CHOOSE(MOD(WEEKDAY(DATE(A$6,A$2,A9)),7)+1,"lø","sø","ma","ti","on","to","fr",)</f>
        <v>lø</v>
      </c>
      <c r="C9" s="133" t="s">
        <v>121</v>
      </c>
      <c r="D9" s="134" t="str">
        <f t="shared" ref="D9:D38" si="1">IF(B9="ma",(DATE(A$6,A$2,A9)-DATE(A$6,1,1)+7)/7,"")</f>
        <v/>
      </c>
      <c r="E9" s="871"/>
      <c r="F9" s="872"/>
      <c r="G9" s="873"/>
      <c r="H9" s="313"/>
      <c r="I9" s="440"/>
      <c r="J9" s="440"/>
      <c r="K9" s="405"/>
      <c r="L9" s="405"/>
      <c r="M9" s="405"/>
      <c r="N9" s="334">
        <f>BA9</f>
        <v>0</v>
      </c>
      <c r="O9" s="334">
        <f>CA9</f>
        <v>0</v>
      </c>
      <c r="P9" s="334">
        <f>IF(Stamoplysninger!$H$29="JA",Juni!DG9,CX9)</f>
        <v>0</v>
      </c>
      <c r="Q9" s="334">
        <f>IF(OR(C9="Lejrskole",C9="Ekskursion"),0,N9-O9-P9)</f>
        <v>0</v>
      </c>
      <c r="R9" s="335"/>
      <c r="S9" s="341"/>
      <c r="T9" s="342"/>
      <c r="U9" s="342"/>
      <c r="V9" s="462"/>
      <c r="W9" s="336"/>
      <c r="X9" s="469"/>
      <c r="Y9">
        <f>IF($S$9="x",V9-N9,0)</f>
        <v>0</v>
      </c>
      <c r="Z9" s="467">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8" si="7">SUM(AG9:AK9)*24</f>
        <v>0</v>
      </c>
      <c r="BC9" s="1">
        <f>IF($C$9="Lejrskole",$L$9,0)</f>
        <v>0</v>
      </c>
      <c r="BD9" s="1">
        <f t="shared" ref="BD9:BD38" si="8">IF(C9="Ekskursion",L9,0)</f>
        <v>0</v>
      </c>
      <c r="BE9" s="1">
        <f t="shared" ref="BE9:BE38" si="9">IF(C9="fagdag",L9,0)</f>
        <v>0</v>
      </c>
      <c r="BF9" s="1">
        <f t="shared" ref="BF9:BF38" si="10">IF(C9="emnedag",L9,0)</f>
        <v>0</v>
      </c>
      <c r="BG9" s="214" t="str">
        <f>IF(AND($C$9="Skema 1",$B$9="ma"),Skemaoplysninger!E30,"")</f>
        <v/>
      </c>
      <c r="BH9" s="214" t="str">
        <f>IF(AND(C9="Skema 1",B9="ti"),Skemaoplysninger!$F$30,"")</f>
        <v/>
      </c>
      <c r="BI9" s="214" t="str">
        <f>IF(AND(C9="Skema 1",B9="on"),Skemaoplysninger!$G$30,"")</f>
        <v/>
      </c>
      <c r="BJ9" s="214" t="str">
        <f>IF(AND(C9="Skema 1",B9="to"),Skemaoplysninger!$H$30,"")</f>
        <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8" si="11">IF(C9="fagdag",M9,0)</f>
        <v>0</v>
      </c>
      <c r="CC9" s="1">
        <f t="shared" ref="CC9:CC38" si="12">IF(C9="emnedag",M9,0)</f>
        <v>0</v>
      </c>
      <c r="CD9" s="214" t="str">
        <f>IF(AND(C9="Skema 1",B9="ma"),Skemaoplysninger!$E$39,"")</f>
        <v/>
      </c>
      <c r="CE9" s="214" t="str">
        <f>IF(AND(C9="Skema 1",B9="ti"),Skemaoplysninger!$F$39,"")</f>
        <v/>
      </c>
      <c r="CF9" s="214" t="str">
        <f>IF(AND(C9="Skema 1",B9="on"),Skemaoplysninger!$G$39,"")</f>
        <v/>
      </c>
      <c r="CG9" s="214" t="str">
        <f>IF(AND(C9="Skema 1",B9="to"),Skemaoplysninger!$H$39,"")</f>
        <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8" si="13">IF(DH9=0,"",DH9)</f>
        <v/>
      </c>
      <c r="DL9" t="str">
        <f>IF(DI9=0,"",DI9)</f>
        <v/>
      </c>
      <c r="DM9" t="str">
        <f>IF(DJ9=0,"",DJ9)</f>
        <v/>
      </c>
      <c r="DN9" t="str">
        <f>DK9&amp;""&amp;DL9&amp;""&amp;DM9</f>
        <v/>
      </c>
    </row>
    <row r="10" spans="1:118">
      <c r="A10" s="249">
        <f t="shared" ref="A10:A38" si="14">IF(ISNUMBER(A9),A9+1,1)</f>
        <v>2</v>
      </c>
      <c r="B10" s="132" t="str">
        <f t="shared" si="0"/>
        <v>sø</v>
      </c>
      <c r="C10" s="133" t="s">
        <v>121</v>
      </c>
      <c r="D10" s="134" t="str">
        <f t="shared" si="1"/>
        <v/>
      </c>
      <c r="E10" s="871"/>
      <c r="F10" s="872"/>
      <c r="G10" s="873"/>
      <c r="H10" s="313"/>
      <c r="I10" s="440"/>
      <c r="J10" s="440"/>
      <c r="K10" s="405"/>
      <c r="L10" s="405"/>
      <c r="M10" s="405"/>
      <c r="N10" s="334">
        <f t="shared" ref="N10:N38" si="15">BA10</f>
        <v>0</v>
      </c>
      <c r="O10" s="334">
        <f t="shared" ref="O10:O38" si="16">CA10</f>
        <v>0</v>
      </c>
      <c r="P10" s="334">
        <f>IF(Stamoplysninger!$H$29="JA",Juni!DG10,CX10)</f>
        <v>0</v>
      </c>
      <c r="Q10" s="334">
        <f t="shared" ref="Q10:Q38" si="17">IF(OR(C10="Lejrskole",C10="Ekskursion"),0,N10-O10-P10)</f>
        <v>0</v>
      </c>
      <c r="R10" s="335"/>
      <c r="S10" s="341"/>
      <c r="T10" s="342"/>
      <c r="U10" s="342"/>
      <c r="V10" s="462"/>
      <c r="W10" s="336"/>
      <c r="X10" s="469"/>
      <c r="Y10">
        <f t="shared" ref="Y10:Y38" si="18">IF(S10="x",V10-N10,0)</f>
        <v>0</v>
      </c>
      <c r="Z10" s="467">
        <f t="shared" ref="Z10:Z38" si="19">W10</f>
        <v>0</v>
      </c>
      <c r="AA10" s="1">
        <f t="shared" si="2"/>
        <v>0</v>
      </c>
      <c r="AB10" s="1">
        <f t="shared" si="3"/>
        <v>0</v>
      </c>
      <c r="AC10" s="1">
        <f t="shared" si="4"/>
        <v>0</v>
      </c>
      <c r="AD10" s="1">
        <f t="shared" si="5"/>
        <v>0</v>
      </c>
      <c r="AE10" s="1">
        <f t="shared" si="6"/>
        <v>0</v>
      </c>
      <c r="AF10" s="1">
        <f>IF(C10="Orlov",7.4*Stamoplysninger!$E$15,0)</f>
        <v>0</v>
      </c>
      <c r="AG10" t="str">
        <f>IF(AND(C10="Skema 1",B10="ma"),Arbejdstidsoversigt!$E$44,"")</f>
        <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8" si="20">SUM(AA10:AZ10)</f>
        <v>0</v>
      </c>
      <c r="BB10" s="233">
        <f t="shared" si="7"/>
        <v>0</v>
      </c>
      <c r="BC10" s="1">
        <f t="shared" ref="BC10:BC38" si="21">IF(C10="Lejrskole",L10,0)</f>
        <v>0</v>
      </c>
      <c r="BD10" s="1">
        <f t="shared" si="8"/>
        <v>0</v>
      </c>
      <c r="BE10" s="1">
        <f t="shared" si="9"/>
        <v>0</v>
      </c>
      <c r="BF10" s="1">
        <f t="shared" si="10"/>
        <v>0</v>
      </c>
      <c r="BG10" s="214" t="str">
        <f>IF(AND(C10="Skema 1",B10="ma"),Skemaoplysninger!$E$30,"")</f>
        <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8" si="22">SUM(BG10:BZ10)*24+SUM(BC10:BF10)</f>
        <v>0</v>
      </c>
      <c r="CB10" s="1">
        <f t="shared" si="11"/>
        <v>0</v>
      </c>
      <c r="CC10" s="1">
        <f t="shared" si="12"/>
        <v>0</v>
      </c>
      <c r="CD10" s="214" t="str">
        <f>IF(AND(C10="Skema 1",B10="ma"),Skemaoplysninger!$E$39,"")</f>
        <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8" si="23">SUM(CY10:DF10)</f>
        <v>0</v>
      </c>
      <c r="DH10" t="str">
        <f t="shared" ref="DH10:DH38" si="24">IF(AND(E10&gt;0,H10&gt;0),""&amp;E10&amp;" og "&amp;H10&amp;"","")</f>
        <v/>
      </c>
      <c r="DI10">
        <f t="shared" ref="DI10:DI38" si="25">IF(H10="",E10,"")</f>
        <v>0</v>
      </c>
      <c r="DJ10">
        <f t="shared" ref="DJ10:DJ38" si="26">IF(E10="",H10,"")</f>
        <v>0</v>
      </c>
      <c r="DK10" t="str">
        <f t="shared" si="13"/>
        <v/>
      </c>
      <c r="DL10" t="str">
        <f t="shared" si="13"/>
        <v/>
      </c>
      <c r="DM10" t="str">
        <f t="shared" si="13"/>
        <v/>
      </c>
      <c r="DN10" t="str">
        <f t="shared" ref="DN10:DN38" si="27">DK10&amp;""&amp;DL10&amp;""&amp;DM10</f>
        <v/>
      </c>
    </row>
    <row r="11" spans="1:118">
      <c r="A11" s="249">
        <f t="shared" si="14"/>
        <v>3</v>
      </c>
      <c r="B11" s="132" t="str">
        <f t="shared" si="0"/>
        <v>ma</v>
      </c>
      <c r="C11" s="133" t="s">
        <v>209</v>
      </c>
      <c r="D11" s="134">
        <f t="shared" si="1"/>
        <v>23</v>
      </c>
      <c r="E11" s="871"/>
      <c r="F11" s="872"/>
      <c r="G11" s="873"/>
      <c r="H11" s="313"/>
      <c r="I11" s="582"/>
      <c r="J11" s="440"/>
      <c r="K11" s="405"/>
      <c r="L11" s="405"/>
      <c r="M11" s="405"/>
      <c r="N11" s="334">
        <f t="shared" si="15"/>
        <v>0</v>
      </c>
      <c r="O11" s="334">
        <f t="shared" si="16"/>
        <v>0</v>
      </c>
      <c r="P11" s="334">
        <f>IF(Stamoplysninger!$H$29="JA",Juni!DG11,CX11)</f>
        <v>0</v>
      </c>
      <c r="Q11" s="334">
        <f t="shared" si="17"/>
        <v>0</v>
      </c>
      <c r="R11" s="335"/>
      <c r="S11" s="341"/>
      <c r="T11" s="342"/>
      <c r="U11" s="342"/>
      <c r="V11" s="462"/>
      <c r="W11" s="336"/>
      <c r="X11" s="469"/>
      <c r="Y11">
        <f t="shared" si="18"/>
        <v>0</v>
      </c>
      <c r="Z11" s="467">
        <f t="shared" si="19"/>
        <v>0</v>
      </c>
      <c r="AA11" s="1">
        <f t="shared" si="2"/>
        <v>0</v>
      </c>
      <c r="AB11" s="1">
        <f t="shared" si="3"/>
        <v>0</v>
      </c>
      <c r="AC11" s="1">
        <f t="shared" si="4"/>
        <v>0</v>
      </c>
      <c r="AD11" s="1">
        <f t="shared" si="5"/>
        <v>0</v>
      </c>
      <c r="AE11" s="1">
        <f t="shared" si="6"/>
        <v>0</v>
      </c>
      <c r="AF11" s="1">
        <f>IF(C11="Orlov",7.4*Stamoplysninger!$E$15,0)</f>
        <v>0</v>
      </c>
      <c r="AG11">
        <f>IF(AND(C11="Skema 1",B11="ma"),Arbejdstidsoversigt!$E$44,"")</f>
        <v>0</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7"/>
        <v>0</v>
      </c>
      <c r="BC11" s="1">
        <f t="shared" si="21"/>
        <v>0</v>
      </c>
      <c r="BD11" s="1">
        <f t="shared" si="8"/>
        <v>0</v>
      </c>
      <c r="BE11" s="1">
        <f t="shared" si="9"/>
        <v>0</v>
      </c>
      <c r="BF11" s="1">
        <f t="shared" si="10"/>
        <v>0</v>
      </c>
      <c r="BG11" s="214">
        <f>IF(AND(C11="Skema 1",B11="ma"),Skemaoplysninger!$E$30,"")</f>
        <v>0</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1"/>
        <v>0</v>
      </c>
      <c r="CC11" s="1">
        <f t="shared" si="12"/>
        <v>0</v>
      </c>
      <c r="CD11" s="214">
        <f>IF(AND(C11="Skema 1",B11="ma"),Skemaoplysninger!$E$39,"")</f>
        <v>0</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3"/>
        <v/>
      </c>
      <c r="DL11" t="str">
        <f t="shared" si="13"/>
        <v/>
      </c>
      <c r="DM11" t="str">
        <f t="shared" si="13"/>
        <v/>
      </c>
      <c r="DN11" t="str">
        <f t="shared" si="27"/>
        <v/>
      </c>
    </row>
    <row r="12" spans="1:118">
      <c r="A12" s="249">
        <f t="shared" si="14"/>
        <v>4</v>
      </c>
      <c r="B12" s="132" t="str">
        <f t="shared" si="0"/>
        <v>ti</v>
      </c>
      <c r="C12" s="133" t="s">
        <v>209</v>
      </c>
      <c r="D12" s="134" t="str">
        <f t="shared" si="1"/>
        <v/>
      </c>
      <c r="E12" s="871"/>
      <c r="F12" s="872"/>
      <c r="G12" s="873"/>
      <c r="H12" s="313"/>
      <c r="I12" s="582"/>
      <c r="J12" s="440"/>
      <c r="K12" s="405"/>
      <c r="L12" s="405"/>
      <c r="M12" s="405"/>
      <c r="N12" s="334">
        <f t="shared" si="15"/>
        <v>0</v>
      </c>
      <c r="O12" s="334">
        <f t="shared" si="16"/>
        <v>0</v>
      </c>
      <c r="P12" s="334">
        <f>IF(Stamoplysninger!$H$29="JA",Juni!DG12,CX12)</f>
        <v>0</v>
      </c>
      <c r="Q12" s="334">
        <f t="shared" si="17"/>
        <v>0</v>
      </c>
      <c r="R12" s="335"/>
      <c r="S12" s="341"/>
      <c r="T12" s="342"/>
      <c r="U12" s="342"/>
      <c r="V12" s="462"/>
      <c r="W12" s="336"/>
      <c r="X12" s="469"/>
      <c r="Y12">
        <f t="shared" si="18"/>
        <v>0</v>
      </c>
      <c r="Z12" s="467">
        <f t="shared" si="19"/>
        <v>0</v>
      </c>
      <c r="AA12" s="1">
        <f t="shared" si="2"/>
        <v>0</v>
      </c>
      <c r="AB12" s="1">
        <f t="shared" si="3"/>
        <v>0</v>
      </c>
      <c r="AC12" s="1">
        <f t="shared" si="4"/>
        <v>0</v>
      </c>
      <c r="AD12" s="1">
        <f t="shared" si="5"/>
        <v>0</v>
      </c>
      <c r="AE12" s="1">
        <f t="shared" si="6"/>
        <v>0</v>
      </c>
      <c r="AF12" s="1">
        <f>IF(C12="Orlov",7.4*Stamoplysninger!$E$15,0)</f>
        <v>0</v>
      </c>
      <c r="AG12" t="str">
        <f>IF(AND(C12="Skema 1",B12="ma"),Arbejdstidsoversigt!$E$44,"")</f>
        <v/>
      </c>
      <c r="AH12">
        <f>IF(AND(C12="Skema 1",B12="ti"),Arbejdstidsoversigt!$E$45,"")</f>
        <v>0</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7"/>
        <v>0</v>
      </c>
      <c r="BC12" s="1">
        <f t="shared" si="21"/>
        <v>0</v>
      </c>
      <c r="BD12" s="1">
        <f t="shared" si="8"/>
        <v>0</v>
      </c>
      <c r="BE12" s="1">
        <f t="shared" si="9"/>
        <v>0</v>
      </c>
      <c r="BF12" s="1">
        <f t="shared" si="10"/>
        <v>0</v>
      </c>
      <c r="BG12" s="214" t="str">
        <f>IF(AND(C12="Skema 1",B12="ma"),Skemaoplysninger!$E$30,"")</f>
        <v/>
      </c>
      <c r="BH12" s="214">
        <f>IF(AND(C12="Skema 1",B12="ti"),Skemaoplysninger!$F$30,"")</f>
        <v>0</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1"/>
        <v>0</v>
      </c>
      <c r="CC12" s="1">
        <f t="shared" si="12"/>
        <v>0</v>
      </c>
      <c r="CD12" s="214" t="str">
        <f>IF(AND(C12="Skema 1",B12="ma"),Skemaoplysninger!$E$39,"")</f>
        <v/>
      </c>
      <c r="CE12" s="214">
        <f>IF(AND(C12="Skema 1",B12="ti"),Skemaoplysninger!$F$39,"")</f>
        <v>0</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3"/>
        <v/>
      </c>
      <c r="DL12" t="str">
        <f t="shared" si="13"/>
        <v/>
      </c>
      <c r="DM12" t="str">
        <f t="shared" si="13"/>
        <v/>
      </c>
      <c r="DN12" t="str">
        <f t="shared" si="27"/>
        <v/>
      </c>
    </row>
    <row r="13" spans="1:118">
      <c r="A13" s="249">
        <f t="shared" si="14"/>
        <v>5</v>
      </c>
      <c r="B13" s="132" t="str">
        <f t="shared" si="0"/>
        <v>on</v>
      </c>
      <c r="C13" s="133" t="s">
        <v>209</v>
      </c>
      <c r="D13" s="134" t="str">
        <f t="shared" si="1"/>
        <v/>
      </c>
      <c r="E13" s="871" t="s">
        <v>221</v>
      </c>
      <c r="F13" s="872"/>
      <c r="G13" s="873"/>
      <c r="H13" s="313"/>
      <c r="I13" s="582"/>
      <c r="J13" s="440"/>
      <c r="K13" s="405"/>
      <c r="L13" s="405"/>
      <c r="M13" s="405"/>
      <c r="N13" s="334">
        <f t="shared" si="15"/>
        <v>0</v>
      </c>
      <c r="O13" s="334">
        <f t="shared" si="16"/>
        <v>0</v>
      </c>
      <c r="P13" s="334">
        <f>IF(Stamoplysninger!$H$29="JA",Juni!DG13,CX13)</f>
        <v>0</v>
      </c>
      <c r="Q13" s="334">
        <f t="shared" si="17"/>
        <v>0</v>
      </c>
      <c r="R13" s="335"/>
      <c r="S13" s="341"/>
      <c r="T13" s="342"/>
      <c r="U13" s="342"/>
      <c r="V13" s="462"/>
      <c r="W13" s="336"/>
      <c r="X13" s="469"/>
      <c r="Y13">
        <f t="shared" si="18"/>
        <v>0</v>
      </c>
      <c r="Z13" s="467">
        <f t="shared" si="19"/>
        <v>0</v>
      </c>
      <c r="AA13" s="1">
        <f t="shared" si="2"/>
        <v>0</v>
      </c>
      <c r="AB13" s="1">
        <f t="shared" si="3"/>
        <v>0</v>
      </c>
      <c r="AC13" s="1">
        <f t="shared" si="4"/>
        <v>0</v>
      </c>
      <c r="AD13" s="1">
        <f t="shared" si="5"/>
        <v>0</v>
      </c>
      <c r="AE13" s="1">
        <f t="shared" si="6"/>
        <v>0</v>
      </c>
      <c r="AF13" s="1">
        <f>IF(C13="Orlov",7.4*Stamoplysninger!$E$15,0)</f>
        <v>0</v>
      </c>
      <c r="AG13" t="str">
        <f>IF(AND(C13="Skema 1",B13="ma"),Arbejdstidsoversigt!$E$44,"")</f>
        <v/>
      </c>
      <c r="AH13" t="str">
        <f>IF(AND(C13="Skema 1",B13="ti"),Arbejdstidsoversigt!$E$45,"")</f>
        <v/>
      </c>
      <c r="AI13">
        <f>IF(AND(C13="Skema 1",B13="on"),Arbejdstidsoversigt!$E$46,"")</f>
        <v>0</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0</v>
      </c>
      <c r="BB13" s="233">
        <f t="shared" si="7"/>
        <v>0</v>
      </c>
      <c r="BC13" s="1">
        <f t="shared" si="21"/>
        <v>0</v>
      </c>
      <c r="BD13" s="1">
        <f t="shared" si="8"/>
        <v>0</v>
      </c>
      <c r="BE13" s="1">
        <f t="shared" si="9"/>
        <v>0</v>
      </c>
      <c r="BF13" s="1">
        <f t="shared" si="10"/>
        <v>0</v>
      </c>
      <c r="BG13" s="214" t="str">
        <f>IF(AND(C13="Skema 1",B13="ma"),Skemaoplysninger!$E$30,"")</f>
        <v/>
      </c>
      <c r="BH13" s="214" t="str">
        <f>IF(AND(C13="Skema 1",B13="ti"),Skemaoplysninger!$F$30,"")</f>
        <v/>
      </c>
      <c r="BI13" s="214">
        <f>IF(AND(C13="Skema 1",B13="on"),Skemaoplysninger!$G$30,"")</f>
        <v>0</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1"/>
        <v>0</v>
      </c>
      <c r="CC13" s="1">
        <f t="shared" si="12"/>
        <v>0</v>
      </c>
      <c r="CD13" s="214" t="str">
        <f>IF(AND(C13="Skema 1",B13="ma"),Skemaoplysninger!$E$39,"")</f>
        <v/>
      </c>
      <c r="CE13" s="214" t="str">
        <f>IF(AND(C13="Skema 1",B13="ti"),Skemaoplysninger!$F$39,"")</f>
        <v/>
      </c>
      <c r="CF13" s="214">
        <f>IF(AND(C13="Skema 1",B13="on"),Skemaoplysninger!$G$39,"")</f>
        <v>0</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t="str">
        <f t="shared" si="25"/>
        <v>Grundlovsdag</v>
      </c>
      <c r="DJ13" t="str">
        <f t="shared" si="26"/>
        <v/>
      </c>
      <c r="DK13" t="str">
        <f t="shared" si="13"/>
        <v/>
      </c>
      <c r="DL13" t="str">
        <f t="shared" si="13"/>
        <v>Grundlovsdag</v>
      </c>
      <c r="DM13" t="str">
        <f t="shared" si="13"/>
        <v/>
      </c>
      <c r="DN13" t="str">
        <f t="shared" si="27"/>
        <v>Grundlovsdag</v>
      </c>
    </row>
    <row r="14" spans="1:118" ht="16" customHeight="1">
      <c r="A14" s="249">
        <f t="shared" si="14"/>
        <v>6</v>
      </c>
      <c r="B14" s="132" t="str">
        <f t="shared" si="0"/>
        <v>to</v>
      </c>
      <c r="C14" s="133" t="s">
        <v>209</v>
      </c>
      <c r="D14" s="134" t="str">
        <f t="shared" si="1"/>
        <v/>
      </c>
      <c r="E14" s="871"/>
      <c r="F14" s="872"/>
      <c r="G14" s="873"/>
      <c r="H14" s="313"/>
      <c r="I14" s="582"/>
      <c r="J14" s="440"/>
      <c r="K14" s="405"/>
      <c r="L14" s="405"/>
      <c r="M14" s="405"/>
      <c r="N14" s="334">
        <f t="shared" si="15"/>
        <v>0</v>
      </c>
      <c r="O14" s="334">
        <f t="shared" si="16"/>
        <v>0</v>
      </c>
      <c r="P14" s="334">
        <f>IF(Stamoplysninger!$H$29="JA",Juni!DG14,CX14)</f>
        <v>0</v>
      </c>
      <c r="Q14" s="334">
        <f t="shared" si="17"/>
        <v>0</v>
      </c>
      <c r="R14" s="335"/>
      <c r="S14" s="341"/>
      <c r="T14" s="342"/>
      <c r="U14" s="342"/>
      <c r="V14" s="462"/>
      <c r="W14" s="336"/>
      <c r="X14" s="469"/>
      <c r="Y14">
        <f t="shared" si="18"/>
        <v>0</v>
      </c>
      <c r="Z14" s="467">
        <f t="shared" si="19"/>
        <v>0</v>
      </c>
      <c r="AA14" s="1">
        <f t="shared" si="2"/>
        <v>0</v>
      </c>
      <c r="AB14" s="1">
        <f t="shared" si="3"/>
        <v>0</v>
      </c>
      <c r="AC14" s="1">
        <f t="shared" si="4"/>
        <v>0</v>
      </c>
      <c r="AD14" s="1">
        <f t="shared" si="5"/>
        <v>0</v>
      </c>
      <c r="AE14" s="1">
        <f t="shared" si="6"/>
        <v>0</v>
      </c>
      <c r="AF14" s="1">
        <f>IF(C14="Orlov",7.4*Stamoplysninger!$E$15,0)</f>
        <v>0</v>
      </c>
      <c r="AG14" t="str">
        <f>IF(AND(C14="Skema 1",B14="ma"),Arbejdstidsoversigt!$E$44,"")</f>
        <v/>
      </c>
      <c r="AH14" t="str">
        <f>IF(AND(C14="Skema 1",B14="ti"),Arbejdstidsoversigt!$E$45,"")</f>
        <v/>
      </c>
      <c r="AI14" t="str">
        <f>IF(AND(C14="Skema 1",B14="on"),Arbejdstidsoversigt!$E$46,"")</f>
        <v/>
      </c>
      <c r="AJ14">
        <f>IF(AND(C14="Skema 1",B14="to"),Arbejdstidsoversigt!$E$47,"")</f>
        <v>0</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0</v>
      </c>
      <c r="BB14" s="233">
        <f t="shared" si="7"/>
        <v>0</v>
      </c>
      <c r="BC14" s="1">
        <f t="shared" si="21"/>
        <v>0</v>
      </c>
      <c r="BD14" s="1">
        <f t="shared" si="8"/>
        <v>0</v>
      </c>
      <c r="BE14" s="1">
        <f t="shared" si="9"/>
        <v>0</v>
      </c>
      <c r="BF14" s="1">
        <f t="shared" si="10"/>
        <v>0</v>
      </c>
      <c r="BG14" s="214" t="str">
        <f>IF(AND(C14="Skema 1",B14="ma"),Skemaoplysninger!$E$30,"")</f>
        <v/>
      </c>
      <c r="BH14" s="214" t="str">
        <f>IF(AND(C14="Skema 1",B14="ti"),Skemaoplysninger!$F$30,"")</f>
        <v/>
      </c>
      <c r="BI14" s="214" t="str">
        <f>IF(AND(C14="Skema 1",B14="on"),Skemaoplysninger!$G$30,"")</f>
        <v/>
      </c>
      <c r="BJ14" s="214">
        <f>IF(AND(C14="Skema 1",B14="to"),Skemaoplysninger!$H$30,"")</f>
        <v>0</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1"/>
        <v>0</v>
      </c>
      <c r="CC14" s="1">
        <f t="shared" si="12"/>
        <v>0</v>
      </c>
      <c r="CD14" s="214" t="str">
        <f>IF(AND(C14="Skema 1",B14="ma"),Skemaoplysninger!$E$39,"")</f>
        <v/>
      </c>
      <c r="CE14" s="214" t="str">
        <f>IF(AND(C14="Skema 1",B14="ti"),Skemaoplysninger!$F$39,"")</f>
        <v/>
      </c>
      <c r="CF14" s="214" t="str">
        <f>IF(AND(C14="Skema 1",B14="on"),Skemaoplysninger!$G$39,"")</f>
        <v/>
      </c>
      <c r="CG14" s="214">
        <f>IF(AND(C14="Skema 1",B14="to"),Skemaoplysninger!$H$39,"")</f>
        <v>0</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3"/>
        <v/>
      </c>
      <c r="DL14" t="str">
        <f t="shared" si="13"/>
        <v/>
      </c>
      <c r="DM14" t="str">
        <f t="shared" si="13"/>
        <v/>
      </c>
      <c r="DN14" t="str">
        <f t="shared" si="27"/>
        <v/>
      </c>
    </row>
    <row r="15" spans="1:118" ht="16" customHeight="1">
      <c r="A15" s="249">
        <f t="shared" si="14"/>
        <v>7</v>
      </c>
      <c r="B15" s="132" t="str">
        <f t="shared" si="0"/>
        <v>fr</v>
      </c>
      <c r="C15" s="133" t="s">
        <v>209</v>
      </c>
      <c r="D15" s="134" t="str">
        <f t="shared" si="1"/>
        <v/>
      </c>
      <c r="E15" s="871"/>
      <c r="F15" s="872"/>
      <c r="G15" s="873"/>
      <c r="H15" s="313"/>
      <c r="I15" s="582"/>
      <c r="J15" s="440"/>
      <c r="K15" s="405"/>
      <c r="L15" s="405"/>
      <c r="M15" s="405"/>
      <c r="N15" s="334">
        <f t="shared" si="15"/>
        <v>0</v>
      </c>
      <c r="O15" s="334">
        <f t="shared" si="16"/>
        <v>0</v>
      </c>
      <c r="P15" s="334">
        <f>IF(Stamoplysninger!$H$29="JA",Juni!DG15,CX15)</f>
        <v>0</v>
      </c>
      <c r="Q15" s="334">
        <f t="shared" si="17"/>
        <v>0</v>
      </c>
      <c r="R15" s="335"/>
      <c r="S15" s="341"/>
      <c r="T15" s="342"/>
      <c r="U15" s="342"/>
      <c r="V15" s="462"/>
      <c r="W15" s="336"/>
      <c r="X15" s="469"/>
      <c r="Y15">
        <f t="shared" si="18"/>
        <v>0</v>
      </c>
      <c r="Z15" s="467">
        <f t="shared" si="19"/>
        <v>0</v>
      </c>
      <c r="AA15" s="1">
        <f t="shared" si="2"/>
        <v>0</v>
      </c>
      <c r="AB15" s="1">
        <f t="shared" si="3"/>
        <v>0</v>
      </c>
      <c r="AC15" s="1">
        <f t="shared" si="4"/>
        <v>0</v>
      </c>
      <c r="AD15" s="1">
        <f t="shared" si="5"/>
        <v>0</v>
      </c>
      <c r="AE15" s="1">
        <f t="shared" si="6"/>
        <v>0</v>
      </c>
      <c r="AF15" s="1">
        <f>IF(C15="Orlov",7.4*Stamoplysninger!$E$15,0)</f>
        <v>0</v>
      </c>
      <c r="AG15" t="str">
        <f>IF(AND(C15="Skema 1",B15="ma"),Arbejdstidsoversigt!$E$44,"")</f>
        <v/>
      </c>
      <c r="AH15" t="str">
        <f>IF(AND(C15="Skema 1",B15="ti"),Arbejdstidsoversigt!$E$45,"")</f>
        <v/>
      </c>
      <c r="AI15" t="str">
        <f>IF(AND(C15="Skema 1",B15="on"),Arbejdstidsoversigt!$E$46,"")</f>
        <v/>
      </c>
      <c r="AJ15" t="str">
        <f>IF(AND(C15="Skema 1",B15="to"),Arbejdstidsoversigt!$E$47,"")</f>
        <v/>
      </c>
      <c r="AK15">
        <f>IF(AND(C15="Skema 1",B15="fr"),Arbejdstidsoversigt!$E$48,"")</f>
        <v>0</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7"/>
        <v>0</v>
      </c>
      <c r="BC15" s="1">
        <f t="shared" si="21"/>
        <v>0</v>
      </c>
      <c r="BD15" s="1">
        <f t="shared" si="8"/>
        <v>0</v>
      </c>
      <c r="BE15" s="1">
        <f t="shared" si="9"/>
        <v>0</v>
      </c>
      <c r="BF15" s="1">
        <f t="shared" si="10"/>
        <v>0</v>
      </c>
      <c r="BG15" s="214" t="str">
        <f>IF(AND(C15="Skema 1",B15="ma"),Skemaoplysninger!$E$30,"")</f>
        <v/>
      </c>
      <c r="BH15" s="214" t="str">
        <f>IF(AND(C15="Skema 1",B15="ti"),Skemaoplysninger!$F$30,"")</f>
        <v/>
      </c>
      <c r="BI15" s="214" t="str">
        <f>IF(AND(C15="Skema 1",B15="on"),Skemaoplysninger!$G$30,"")</f>
        <v/>
      </c>
      <c r="BJ15" s="214" t="str">
        <f>IF(AND(C15="Skema 1",B15="to"),Skemaoplysninger!$H$30,"")</f>
        <v/>
      </c>
      <c r="BK15" s="214">
        <f>IF(AND(C15="Skema 1",B15="fr"),Skemaoplysninger!$I$30,"")</f>
        <v>0</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1"/>
        <v>0</v>
      </c>
      <c r="CC15" s="1">
        <f t="shared" si="12"/>
        <v>0</v>
      </c>
      <c r="CD15" s="214" t="str">
        <f>IF(AND(C15="Skema 1",B15="ma"),Skemaoplysninger!$E$39,"")</f>
        <v/>
      </c>
      <c r="CE15" s="214" t="str">
        <f>IF(AND(C15="Skema 1",B15="ti"),Skemaoplysninger!$F$39,"")</f>
        <v/>
      </c>
      <c r="CF15" s="214" t="str">
        <f>IF(AND(C15="Skema 1",B15="on"),Skemaoplysninger!$G$39,"")</f>
        <v/>
      </c>
      <c r="CG15" s="214" t="str">
        <f>IF(AND(C15="Skema 1",B15="to"),Skemaoplysninger!$H$39,"")</f>
        <v/>
      </c>
      <c r="CH15" s="214">
        <f>IF(AND(C15="Skema 1",B15="fr"),Skemaoplysninger!$I$39,"")</f>
        <v>0</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3"/>
        <v/>
      </c>
      <c r="DL15" t="str">
        <f t="shared" si="13"/>
        <v/>
      </c>
      <c r="DM15" t="str">
        <f t="shared" si="13"/>
        <v/>
      </c>
      <c r="DN15" t="str">
        <f t="shared" si="27"/>
        <v/>
      </c>
    </row>
    <row r="16" spans="1:118">
      <c r="A16" s="249">
        <f t="shared" si="14"/>
        <v>8</v>
      </c>
      <c r="B16" s="132" t="str">
        <f t="shared" si="0"/>
        <v>lø</v>
      </c>
      <c r="C16" s="133" t="s">
        <v>121</v>
      </c>
      <c r="D16" s="134" t="str">
        <f t="shared" si="1"/>
        <v/>
      </c>
      <c r="E16" s="871"/>
      <c r="F16" s="872"/>
      <c r="G16" s="873"/>
      <c r="H16" s="313"/>
      <c r="I16" s="440"/>
      <c r="J16" s="440"/>
      <c r="K16" s="405"/>
      <c r="L16" s="405"/>
      <c r="M16" s="405"/>
      <c r="N16" s="334">
        <f t="shared" si="15"/>
        <v>0</v>
      </c>
      <c r="O16" s="334">
        <f t="shared" si="16"/>
        <v>0</v>
      </c>
      <c r="P16" s="334">
        <f>IF(Stamoplysninger!$H$29="JA",Juni!DG16,CX16)</f>
        <v>0</v>
      </c>
      <c r="Q16" s="334">
        <f t="shared" si="17"/>
        <v>0</v>
      </c>
      <c r="R16" s="335"/>
      <c r="S16" s="341"/>
      <c r="T16" s="342"/>
      <c r="U16" s="342"/>
      <c r="V16" s="462"/>
      <c r="W16" s="336"/>
      <c r="X16" s="469"/>
      <c r="Y16">
        <f t="shared" si="18"/>
        <v>0</v>
      </c>
      <c r="Z16" s="467">
        <f t="shared" si="19"/>
        <v>0</v>
      </c>
      <c r="AA16" s="1">
        <f t="shared" si="2"/>
        <v>0</v>
      </c>
      <c r="AB16" s="1">
        <f t="shared" si="3"/>
        <v>0</v>
      </c>
      <c r="AC16" s="1">
        <f t="shared" si="4"/>
        <v>0</v>
      </c>
      <c r="AD16" s="1">
        <f t="shared" si="5"/>
        <v>0</v>
      </c>
      <c r="AE16" s="1">
        <f t="shared" si="6"/>
        <v>0</v>
      </c>
      <c r="AF16" s="1">
        <f>IF(C16="Orlov",7.4*Stamoplysninger!$E$15,0)</f>
        <v>0</v>
      </c>
      <c r="AG16" t="str">
        <f>IF(AND(C16="Skema 1",B16="ma"),Arbejdstidsoversigt!$E$44,"")</f>
        <v/>
      </c>
      <c r="AH16" t="str">
        <f>IF(AND(C16="Skema 1",B16="ti"),Arbejdstidsoversigt!$E$45,"")</f>
        <v/>
      </c>
      <c r="AI16" t="str">
        <f>IF(AND(C16="Skema 1",B16="on"),Arbejdstidsoversigt!$E$46,"")</f>
        <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0</v>
      </c>
      <c r="BB16" s="233">
        <f t="shared" si="7"/>
        <v>0</v>
      </c>
      <c r="BC16" s="1">
        <f t="shared" si="21"/>
        <v>0</v>
      </c>
      <c r="BD16" s="1">
        <f t="shared" si="8"/>
        <v>0</v>
      </c>
      <c r="BE16" s="1">
        <f t="shared" si="9"/>
        <v>0</v>
      </c>
      <c r="BF16" s="1">
        <f t="shared" si="10"/>
        <v>0</v>
      </c>
      <c r="BG16" s="214" t="str">
        <f>IF(AND(C16="Skema 1",B16="ma"),Skemaoplysninger!$E$30,"")</f>
        <v/>
      </c>
      <c r="BH16" s="214" t="str">
        <f>IF(AND(C16="Skema 1",B16="ti"),Skemaoplysninger!$F$30,"")</f>
        <v/>
      </c>
      <c r="BI16" s="214" t="str">
        <f>IF(AND(C16="Skema 1",B16="on"),Skemaoplysninger!$G$30,"")</f>
        <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1"/>
        <v>0</v>
      </c>
      <c r="CC16" s="1">
        <f t="shared" si="12"/>
        <v>0</v>
      </c>
      <c r="CD16" s="214" t="str">
        <f>IF(AND(C16="Skema 1",B16="ma"),Skemaoplysninger!$E$39,"")</f>
        <v/>
      </c>
      <c r="CE16" s="214" t="str">
        <f>IF(AND(C16="Skema 1",B16="ti"),Skemaoplysninger!$F$39,"")</f>
        <v/>
      </c>
      <c r="CF16" s="214" t="str">
        <f>IF(AND(C16="Skema 1",B16="on"),Skemaoplysninger!$G$39,"")</f>
        <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3"/>
        <v/>
      </c>
      <c r="DL16" t="str">
        <f t="shared" si="13"/>
        <v/>
      </c>
      <c r="DM16" t="str">
        <f t="shared" si="13"/>
        <v/>
      </c>
      <c r="DN16" t="str">
        <f t="shared" si="27"/>
        <v/>
      </c>
    </row>
    <row r="17" spans="1:118">
      <c r="A17" s="249">
        <f t="shared" si="14"/>
        <v>9</v>
      </c>
      <c r="B17" s="132" t="str">
        <f t="shared" si="0"/>
        <v>sø</v>
      </c>
      <c r="C17" s="133" t="s">
        <v>121</v>
      </c>
      <c r="D17" s="134" t="str">
        <f t="shared" si="1"/>
        <v/>
      </c>
      <c r="E17" s="871"/>
      <c r="F17" s="872"/>
      <c r="G17" s="873"/>
      <c r="H17" s="313"/>
      <c r="I17" s="440"/>
      <c r="J17" s="440"/>
      <c r="K17" s="405"/>
      <c r="L17" s="405"/>
      <c r="M17" s="405"/>
      <c r="N17" s="334">
        <f t="shared" si="15"/>
        <v>0</v>
      </c>
      <c r="O17" s="334">
        <f t="shared" si="16"/>
        <v>0</v>
      </c>
      <c r="P17" s="334">
        <f>IF(Stamoplysninger!$H$29="JA",Juni!DG17,CX17)</f>
        <v>0</v>
      </c>
      <c r="Q17" s="334">
        <f t="shared" si="17"/>
        <v>0</v>
      </c>
      <c r="R17" s="335"/>
      <c r="S17" s="341"/>
      <c r="T17" s="342"/>
      <c r="U17" s="342"/>
      <c r="V17" s="462"/>
      <c r="W17" s="336"/>
      <c r="X17" s="469"/>
      <c r="Y17">
        <f t="shared" si="18"/>
        <v>0</v>
      </c>
      <c r="Z17" s="467">
        <f t="shared" si="19"/>
        <v>0</v>
      </c>
      <c r="AA17" s="1">
        <f t="shared" si="2"/>
        <v>0</v>
      </c>
      <c r="AB17" s="1">
        <f t="shared" si="3"/>
        <v>0</v>
      </c>
      <c r="AC17" s="1">
        <f t="shared" si="4"/>
        <v>0</v>
      </c>
      <c r="AD17" s="1">
        <f t="shared" si="5"/>
        <v>0</v>
      </c>
      <c r="AE17" s="1">
        <f t="shared" si="6"/>
        <v>0</v>
      </c>
      <c r="AF17" s="1">
        <f>IF(C17="Orlov",7.4*Stamoplysninger!$E$15,0)</f>
        <v>0</v>
      </c>
      <c r="AG17" t="str">
        <f>IF(AND(C17="Skema 1",B17="ma"),Arbejdstidsoversigt!$E$44,"")</f>
        <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7"/>
        <v>0</v>
      </c>
      <c r="BC17" s="1">
        <f t="shared" si="21"/>
        <v>0</v>
      </c>
      <c r="BD17" s="1">
        <f t="shared" si="8"/>
        <v>0</v>
      </c>
      <c r="BE17" s="1">
        <f t="shared" si="9"/>
        <v>0</v>
      </c>
      <c r="BF17" s="1">
        <f t="shared" si="10"/>
        <v>0</v>
      </c>
      <c r="BG17" s="214" t="str">
        <f>IF(AND(C17="Skema 1",B17="ma"),Skemaoplysninger!$E$30,"")</f>
        <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1"/>
        <v>0</v>
      </c>
      <c r="CC17" s="1">
        <f t="shared" si="12"/>
        <v>0</v>
      </c>
      <c r="CD17" s="214" t="str">
        <f>IF(AND(C17="Skema 1",B17="ma"),Skemaoplysninger!$E$39,"")</f>
        <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3"/>
        <v/>
      </c>
      <c r="DL17" t="str">
        <f t="shared" si="13"/>
        <v/>
      </c>
      <c r="DM17" t="str">
        <f t="shared" si="13"/>
        <v/>
      </c>
      <c r="DN17" t="str">
        <f t="shared" si="27"/>
        <v/>
      </c>
    </row>
    <row r="18" spans="1:118">
      <c r="A18" s="249">
        <f t="shared" si="14"/>
        <v>10</v>
      </c>
      <c r="B18" s="132" t="str">
        <f t="shared" si="0"/>
        <v>ma</v>
      </c>
      <c r="C18" s="133" t="s">
        <v>209</v>
      </c>
      <c r="D18" s="134">
        <f t="shared" si="1"/>
        <v>24</v>
      </c>
      <c r="E18" s="871"/>
      <c r="F18" s="872"/>
      <c r="G18" s="873"/>
      <c r="H18" s="313"/>
      <c r="I18" s="582"/>
      <c r="J18" s="440"/>
      <c r="K18" s="405"/>
      <c r="L18" s="405"/>
      <c r="M18" s="405"/>
      <c r="N18" s="334">
        <f t="shared" si="15"/>
        <v>0</v>
      </c>
      <c r="O18" s="334">
        <f t="shared" si="16"/>
        <v>0</v>
      </c>
      <c r="P18" s="334">
        <f>IF(Stamoplysninger!$H$29="JA",Juni!DG18,CX18)</f>
        <v>0</v>
      </c>
      <c r="Q18" s="334">
        <f t="shared" si="17"/>
        <v>0</v>
      </c>
      <c r="R18" s="335"/>
      <c r="S18" s="341"/>
      <c r="T18" s="342"/>
      <c r="U18" s="342"/>
      <c r="V18" s="462"/>
      <c r="W18" s="336"/>
      <c r="X18" s="469"/>
      <c r="Y18">
        <f t="shared" si="18"/>
        <v>0</v>
      </c>
      <c r="Z18" s="467">
        <f t="shared" si="19"/>
        <v>0</v>
      </c>
      <c r="AA18" s="1">
        <f t="shared" si="2"/>
        <v>0</v>
      </c>
      <c r="AB18" s="1">
        <f t="shared" si="3"/>
        <v>0</v>
      </c>
      <c r="AC18" s="1">
        <f t="shared" si="4"/>
        <v>0</v>
      </c>
      <c r="AD18" s="1">
        <f t="shared" si="5"/>
        <v>0</v>
      </c>
      <c r="AE18" s="1">
        <f t="shared" si="6"/>
        <v>0</v>
      </c>
      <c r="AF18" s="1">
        <f>IF(C18="Orlov",7.4*Stamoplysninger!$E$15,0)</f>
        <v>0</v>
      </c>
      <c r="AG18">
        <f>IF(AND(C18="Skema 1",B18="ma"),Arbejdstidsoversigt!$E$44,"")</f>
        <v>0</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7"/>
        <v>0</v>
      </c>
      <c r="BC18" s="1">
        <f t="shared" si="21"/>
        <v>0</v>
      </c>
      <c r="BD18" s="1">
        <f t="shared" si="8"/>
        <v>0</v>
      </c>
      <c r="BE18" s="1">
        <f t="shared" si="9"/>
        <v>0</v>
      </c>
      <c r="BF18" s="1">
        <f t="shared" si="10"/>
        <v>0</v>
      </c>
      <c r="BG18" s="214">
        <f>IF(AND(C18="Skema 1",B18="ma"),Skemaoplysninger!$E$30,"")</f>
        <v>0</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1"/>
        <v>0</v>
      </c>
      <c r="CC18" s="1">
        <f t="shared" si="12"/>
        <v>0</v>
      </c>
      <c r="CD18" s="214">
        <f>IF(AND(C18="Skema 1",B18="ma"),Skemaoplysninger!$E$39,"")</f>
        <v>0</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3"/>
        <v/>
      </c>
      <c r="DL18" t="str">
        <f t="shared" si="13"/>
        <v/>
      </c>
      <c r="DM18" t="str">
        <f t="shared" si="13"/>
        <v/>
      </c>
      <c r="DN18" t="str">
        <f t="shared" si="27"/>
        <v/>
      </c>
    </row>
    <row r="19" spans="1:118">
      <c r="A19" s="249">
        <f t="shared" si="14"/>
        <v>11</v>
      </c>
      <c r="B19" s="132" t="str">
        <f t="shared" si="0"/>
        <v>ti</v>
      </c>
      <c r="C19" s="133" t="s">
        <v>209</v>
      </c>
      <c r="D19" s="134" t="str">
        <f t="shared" si="1"/>
        <v/>
      </c>
      <c r="E19" s="871"/>
      <c r="F19" s="872"/>
      <c r="G19" s="873"/>
      <c r="H19" s="313"/>
      <c r="I19" s="582"/>
      <c r="J19" s="440"/>
      <c r="K19" s="405"/>
      <c r="L19" s="405"/>
      <c r="M19" s="405"/>
      <c r="N19" s="334">
        <f t="shared" si="15"/>
        <v>0</v>
      </c>
      <c r="O19" s="334">
        <f t="shared" si="16"/>
        <v>0</v>
      </c>
      <c r="P19" s="334">
        <f>IF(Stamoplysninger!$H$29="JA",Juni!DG19,CX19)</f>
        <v>0</v>
      </c>
      <c r="Q19" s="334">
        <f t="shared" si="17"/>
        <v>0</v>
      </c>
      <c r="R19" s="335"/>
      <c r="S19" s="341"/>
      <c r="T19" s="342"/>
      <c r="U19" s="342"/>
      <c r="V19" s="462"/>
      <c r="W19" s="336"/>
      <c r="X19" s="469"/>
      <c r="Y19">
        <f t="shared" si="18"/>
        <v>0</v>
      </c>
      <c r="Z19" s="467">
        <f t="shared" si="19"/>
        <v>0</v>
      </c>
      <c r="AA19" s="1">
        <f t="shared" si="2"/>
        <v>0</v>
      </c>
      <c r="AB19" s="1">
        <f t="shared" si="3"/>
        <v>0</v>
      </c>
      <c r="AC19" s="1">
        <f t="shared" si="4"/>
        <v>0</v>
      </c>
      <c r="AD19" s="1">
        <f t="shared" si="5"/>
        <v>0</v>
      </c>
      <c r="AE19" s="1">
        <f t="shared" si="6"/>
        <v>0</v>
      </c>
      <c r="AF19" s="1">
        <f>IF(C19="Orlov",7.4*Stamoplysninger!$E$15,0)</f>
        <v>0</v>
      </c>
      <c r="AG19" t="str">
        <f>IF(AND(C19="Skema 1",B19="ma"),Arbejdstidsoversigt!$E$44,"")</f>
        <v/>
      </c>
      <c r="AH19">
        <f>IF(AND(C19="Skema 1",B19="ti"),Arbejdstidsoversigt!$E$45,"")</f>
        <v>0</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7"/>
        <v>0</v>
      </c>
      <c r="BC19" s="1">
        <f t="shared" si="21"/>
        <v>0</v>
      </c>
      <c r="BD19" s="1">
        <f t="shared" si="8"/>
        <v>0</v>
      </c>
      <c r="BE19" s="1">
        <f t="shared" si="9"/>
        <v>0</v>
      </c>
      <c r="BF19" s="1">
        <f t="shared" si="10"/>
        <v>0</v>
      </c>
      <c r="BG19" s="214" t="str">
        <f>IF(AND(C19="Skema 1",B19="ma"),Skemaoplysninger!$E$30,"")</f>
        <v/>
      </c>
      <c r="BH19" s="214">
        <f>IF(AND(C19="Skema 1",B19="ti"),Skemaoplysninger!$F$30,"")</f>
        <v>0</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1"/>
        <v>0</v>
      </c>
      <c r="CC19" s="1">
        <f t="shared" si="12"/>
        <v>0</v>
      </c>
      <c r="CD19" s="214" t="str">
        <f>IF(AND(C19="Skema 1",B19="ma"),Skemaoplysninger!$E$39,"")</f>
        <v/>
      </c>
      <c r="CE19" s="214">
        <f>IF(AND(C19="Skema 1",B19="ti"),Skemaoplysninger!$F$39,"")</f>
        <v>0</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3"/>
        <v/>
      </c>
      <c r="DL19" t="str">
        <f t="shared" si="13"/>
        <v/>
      </c>
      <c r="DM19" t="str">
        <f t="shared" si="13"/>
        <v/>
      </c>
      <c r="DN19" t="str">
        <f t="shared" si="27"/>
        <v/>
      </c>
    </row>
    <row r="20" spans="1:118">
      <c r="A20" s="249">
        <f>IF(ISNUMBER(A19),A19+1,1)</f>
        <v>12</v>
      </c>
      <c r="B20" s="132" t="str">
        <f t="shared" si="0"/>
        <v>on</v>
      </c>
      <c r="C20" s="133" t="s">
        <v>209</v>
      </c>
      <c r="D20" s="134" t="str">
        <f t="shared" si="1"/>
        <v/>
      </c>
      <c r="E20" s="871"/>
      <c r="F20" s="872"/>
      <c r="G20" s="873"/>
      <c r="H20" s="313"/>
      <c r="I20" s="582"/>
      <c r="J20" s="440"/>
      <c r="K20" s="405"/>
      <c r="L20" s="405"/>
      <c r="M20" s="405"/>
      <c r="N20" s="334">
        <f t="shared" si="15"/>
        <v>0</v>
      </c>
      <c r="O20" s="334">
        <f t="shared" si="16"/>
        <v>0</v>
      </c>
      <c r="P20" s="334">
        <f>IF(Stamoplysninger!$H$29="JA",Juni!DG20,CX20)</f>
        <v>0</v>
      </c>
      <c r="Q20" s="334">
        <f t="shared" si="17"/>
        <v>0</v>
      </c>
      <c r="R20" s="335"/>
      <c r="S20" s="341"/>
      <c r="T20" s="342"/>
      <c r="U20" s="342"/>
      <c r="V20" s="462"/>
      <c r="W20" s="336"/>
      <c r="X20" s="469"/>
      <c r="Y20">
        <f t="shared" si="18"/>
        <v>0</v>
      </c>
      <c r="Z20" s="467">
        <f t="shared" si="19"/>
        <v>0</v>
      </c>
      <c r="AA20" s="1">
        <f t="shared" si="2"/>
        <v>0</v>
      </c>
      <c r="AB20" s="1">
        <f t="shared" si="3"/>
        <v>0</v>
      </c>
      <c r="AC20" s="1">
        <f t="shared" si="4"/>
        <v>0</v>
      </c>
      <c r="AD20" s="1">
        <f t="shared" si="5"/>
        <v>0</v>
      </c>
      <c r="AE20" s="1">
        <f t="shared" si="6"/>
        <v>0</v>
      </c>
      <c r="AF20" s="1">
        <f>IF(C20="Orlov",7.4*Stamoplysninger!$E$15,0)</f>
        <v>0</v>
      </c>
      <c r="AG20" t="str">
        <f>IF(AND(C20="Skema 1",B20="ma"),Arbejdstidsoversigt!$E$44,"")</f>
        <v/>
      </c>
      <c r="AH20" t="str">
        <f>IF(AND(C20="Skema 1",B20="ti"),Arbejdstidsoversigt!$E$45,"")</f>
        <v/>
      </c>
      <c r="AI20">
        <f>IF(AND(C20="Skema 1",B20="on"),Arbejdstidsoversigt!$E$46,"")</f>
        <v>0</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7"/>
        <v>0</v>
      </c>
      <c r="BC20" s="1">
        <f t="shared" si="21"/>
        <v>0</v>
      </c>
      <c r="BD20" s="1">
        <f t="shared" si="8"/>
        <v>0</v>
      </c>
      <c r="BE20" s="1">
        <f t="shared" si="9"/>
        <v>0</v>
      </c>
      <c r="BF20" s="1">
        <f t="shared" si="10"/>
        <v>0</v>
      </c>
      <c r="BG20" s="214" t="str">
        <f>IF(AND(C20="Skema 1",B20="ma"),Skemaoplysninger!$E$30,"")</f>
        <v/>
      </c>
      <c r="BH20" s="214" t="str">
        <f>IF(AND(C20="Skema 1",B20="ti"),Skemaoplysninger!$F$30,"")</f>
        <v/>
      </c>
      <c r="BI20" s="214">
        <f>IF(AND(C20="Skema 1",B20="on"),Skemaoplysninger!$G$30,"")</f>
        <v>0</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1"/>
        <v>0</v>
      </c>
      <c r="CC20" s="1">
        <f t="shared" si="12"/>
        <v>0</v>
      </c>
      <c r="CD20" s="214" t="str">
        <f>IF(AND(C20="Skema 1",B20="ma"),Skemaoplysninger!$E$39,"")</f>
        <v/>
      </c>
      <c r="CE20" s="214" t="str">
        <f>IF(AND(C20="Skema 1",B20="ti"),Skemaoplysninger!$F$39,"")</f>
        <v/>
      </c>
      <c r="CF20" s="214">
        <f>IF(AND(C20="Skema 1",B20="on"),Skemaoplysninger!$G$39,"")</f>
        <v>0</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f t="shared" si="25"/>
        <v>0</v>
      </c>
      <c r="DJ20">
        <f t="shared" si="26"/>
        <v>0</v>
      </c>
      <c r="DK20" t="str">
        <f t="shared" si="13"/>
        <v/>
      </c>
      <c r="DL20" t="str">
        <f t="shared" si="13"/>
        <v/>
      </c>
      <c r="DM20" t="str">
        <f t="shared" si="13"/>
        <v/>
      </c>
      <c r="DN20" t="str">
        <f t="shared" si="27"/>
        <v/>
      </c>
    </row>
    <row r="21" spans="1:118">
      <c r="A21" s="249">
        <f>IF(ISNUMBER(A20),A20+1,1)</f>
        <v>13</v>
      </c>
      <c r="B21" s="132" t="str">
        <f t="shared" si="0"/>
        <v>to</v>
      </c>
      <c r="C21" s="133" t="s">
        <v>209</v>
      </c>
      <c r="D21" s="134" t="str">
        <f t="shared" si="1"/>
        <v/>
      </c>
      <c r="E21" s="868"/>
      <c r="F21" s="869"/>
      <c r="G21" s="870"/>
      <c r="H21" s="312"/>
      <c r="I21" s="582"/>
      <c r="J21" s="440"/>
      <c r="K21" s="405"/>
      <c r="L21" s="405"/>
      <c r="M21" s="405"/>
      <c r="N21" s="334">
        <f t="shared" si="15"/>
        <v>0</v>
      </c>
      <c r="O21" s="334">
        <f t="shared" si="16"/>
        <v>0</v>
      </c>
      <c r="P21" s="334">
        <f>IF(Stamoplysninger!$H$29="JA",Juni!DG21,CX21)</f>
        <v>0</v>
      </c>
      <c r="Q21" s="334">
        <f t="shared" si="17"/>
        <v>0</v>
      </c>
      <c r="R21" s="335"/>
      <c r="S21" s="341"/>
      <c r="T21" s="342"/>
      <c r="U21" s="342"/>
      <c r="V21" s="462"/>
      <c r="W21" s="336"/>
      <c r="X21" s="469"/>
      <c r="Y21">
        <f t="shared" si="18"/>
        <v>0</v>
      </c>
      <c r="Z21" s="467">
        <f t="shared" si="19"/>
        <v>0</v>
      </c>
      <c r="AA21" s="1">
        <f t="shared" si="2"/>
        <v>0</v>
      </c>
      <c r="AB21" s="1">
        <f t="shared" si="3"/>
        <v>0</v>
      </c>
      <c r="AC21" s="1">
        <f t="shared" si="4"/>
        <v>0</v>
      </c>
      <c r="AD21" s="1">
        <f t="shared" si="5"/>
        <v>0</v>
      </c>
      <c r="AE21" s="1">
        <f t="shared" si="6"/>
        <v>0</v>
      </c>
      <c r="AF21" s="1">
        <f>IF(C21="Orlov",7.4*Stamoplysninger!$E$15,0)</f>
        <v>0</v>
      </c>
      <c r="AG21" t="str">
        <f>IF(AND(C21="Skema 1",B21="ma"),Arbejdstidsoversigt!$E$44,"")</f>
        <v/>
      </c>
      <c r="AH21" t="str">
        <f>IF(AND(C21="Skema 1",B21="ti"),Arbejdstidsoversigt!$E$45,"")</f>
        <v/>
      </c>
      <c r="AI21" t="str">
        <f>IF(AND(C21="Skema 1",B21="on"),Arbejdstidsoversigt!$E$46,"")</f>
        <v/>
      </c>
      <c r="AJ21">
        <f>IF(AND(C21="Skema 1",B21="to"),Arbejdstidsoversigt!$E$47,"")</f>
        <v>0</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7"/>
        <v>0</v>
      </c>
      <c r="BC21" s="1">
        <f t="shared" si="21"/>
        <v>0</v>
      </c>
      <c r="BD21" s="1">
        <f t="shared" si="8"/>
        <v>0</v>
      </c>
      <c r="BE21" s="1">
        <f t="shared" si="9"/>
        <v>0</v>
      </c>
      <c r="BF21" s="1">
        <f t="shared" si="10"/>
        <v>0</v>
      </c>
      <c r="BG21" s="214" t="str">
        <f>IF(AND(C21="Skema 1",B21="ma"),Skemaoplysninger!$E$30,"")</f>
        <v/>
      </c>
      <c r="BH21" s="214" t="str">
        <f>IF(AND(C21="Skema 1",B21="ti"),Skemaoplysninger!$F$30,"")</f>
        <v/>
      </c>
      <c r="BI21" s="214" t="str">
        <f>IF(AND(C21="Skema 1",B21="on"),Skemaoplysninger!$G$30,"")</f>
        <v/>
      </c>
      <c r="BJ21" s="214">
        <f>IF(AND(C21="Skema 1",B21="to"),Skemaoplysninger!$H$30,"")</f>
        <v>0</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1"/>
        <v>0</v>
      </c>
      <c r="CC21" s="1">
        <f t="shared" si="12"/>
        <v>0</v>
      </c>
      <c r="CD21" s="214" t="str">
        <f>IF(AND(C21="Skema 1",B21="ma"),Skemaoplysninger!$E$39,"")</f>
        <v/>
      </c>
      <c r="CE21" s="214" t="str">
        <f>IF(AND(C21="Skema 1",B21="ti"),Skemaoplysninger!$F$39,"")</f>
        <v/>
      </c>
      <c r="CF21" s="214" t="str">
        <f>IF(AND(C21="Skema 1",B21="on"),Skemaoplysninger!$G$39,"")</f>
        <v/>
      </c>
      <c r="CG21" s="214">
        <f>IF(AND(C21="Skema 1",B21="to"),Skemaoplysninger!$H$39,"")</f>
        <v>0</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3"/>
        <v/>
      </c>
      <c r="DL21" t="str">
        <f t="shared" si="13"/>
        <v/>
      </c>
      <c r="DM21" t="str">
        <f t="shared" si="13"/>
        <v/>
      </c>
      <c r="DN21" t="str">
        <f t="shared" si="27"/>
        <v/>
      </c>
    </row>
    <row r="22" spans="1:118">
      <c r="A22" s="249">
        <f t="shared" si="14"/>
        <v>14</v>
      </c>
      <c r="B22" s="132" t="str">
        <f t="shared" si="0"/>
        <v>fr</v>
      </c>
      <c r="C22" s="133" t="s">
        <v>209</v>
      </c>
      <c r="D22" s="134" t="str">
        <f t="shared" si="1"/>
        <v/>
      </c>
      <c r="E22" s="868"/>
      <c r="F22" s="869"/>
      <c r="G22" s="870"/>
      <c r="H22" s="312"/>
      <c r="I22" s="582"/>
      <c r="J22" s="440"/>
      <c r="K22" s="405"/>
      <c r="L22" s="405"/>
      <c r="M22" s="405"/>
      <c r="N22" s="334">
        <f t="shared" si="15"/>
        <v>0</v>
      </c>
      <c r="O22" s="334">
        <f t="shared" si="16"/>
        <v>0</v>
      </c>
      <c r="P22" s="334">
        <f>IF(Stamoplysninger!$H$29="JA",Juni!DG22,CX22)</f>
        <v>0</v>
      </c>
      <c r="Q22" s="334">
        <f t="shared" si="17"/>
        <v>0</v>
      </c>
      <c r="R22" s="335"/>
      <c r="S22" s="341"/>
      <c r="T22" s="342"/>
      <c r="U22" s="342"/>
      <c r="V22" s="462"/>
      <c r="W22" s="336"/>
      <c r="X22" s="469"/>
      <c r="Y22">
        <f t="shared" si="18"/>
        <v>0</v>
      </c>
      <c r="Z22" s="467">
        <f t="shared" si="19"/>
        <v>0</v>
      </c>
      <c r="AA22" s="1">
        <f t="shared" si="2"/>
        <v>0</v>
      </c>
      <c r="AB22" s="1">
        <f t="shared" si="3"/>
        <v>0</v>
      </c>
      <c r="AC22" s="1">
        <f t="shared" si="4"/>
        <v>0</v>
      </c>
      <c r="AD22" s="1">
        <f t="shared" si="5"/>
        <v>0</v>
      </c>
      <c r="AE22" s="1">
        <f t="shared" si="6"/>
        <v>0</v>
      </c>
      <c r="AF22" s="1">
        <f>IF(C22="Orlov",7.4*Stamoplysninger!$E$15,0)</f>
        <v>0</v>
      </c>
      <c r="AG22" t="str">
        <f>IF(AND(C22="Skema 1",B22="ma"),Arbejdstidsoversigt!$E$44,"")</f>
        <v/>
      </c>
      <c r="AH22" t="str">
        <f>IF(AND(C22="Skema 1",B22="ti"),Arbejdstidsoversigt!$E$45,"")</f>
        <v/>
      </c>
      <c r="AI22" t="str">
        <f>IF(AND(C22="Skema 1",B22="on"),Arbejdstidsoversigt!$E$46,"")</f>
        <v/>
      </c>
      <c r="AJ22" t="str">
        <f>IF(AND(C22="Skema 1",B22="to"),Arbejdstidsoversigt!$E$47,"")</f>
        <v/>
      </c>
      <c r="AK22">
        <f>IF(AND(C22="Skema 1",B22="fr"),Arbejdstidsoversigt!$E$48,"")</f>
        <v>0</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7"/>
        <v>0</v>
      </c>
      <c r="BC22" s="1">
        <f t="shared" si="21"/>
        <v>0</v>
      </c>
      <c r="BD22" s="1">
        <f t="shared" si="8"/>
        <v>0</v>
      </c>
      <c r="BE22" s="1">
        <f t="shared" si="9"/>
        <v>0</v>
      </c>
      <c r="BF22" s="1">
        <f t="shared" si="10"/>
        <v>0</v>
      </c>
      <c r="BG22" s="214" t="str">
        <f>IF(AND(C22="Skema 1",B22="ma"),Skemaoplysninger!$E$30,"")</f>
        <v/>
      </c>
      <c r="BH22" s="214" t="str">
        <f>IF(AND(C22="Skema 1",B22="ti"),Skemaoplysninger!$F$30,"")</f>
        <v/>
      </c>
      <c r="BI22" s="214" t="str">
        <f>IF(AND(C22="Skema 1",B22="on"),Skemaoplysninger!$G$30,"")</f>
        <v/>
      </c>
      <c r="BJ22" s="214" t="str">
        <f>IF(AND(C22="Skema 1",B22="to"),Skemaoplysninger!$H$30,"")</f>
        <v/>
      </c>
      <c r="BK22" s="214">
        <f>IF(AND(C22="Skema 1",B22="fr"),Skemaoplysninger!$I$30,"")</f>
        <v>0</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1"/>
        <v>0</v>
      </c>
      <c r="CC22" s="1">
        <f t="shared" si="12"/>
        <v>0</v>
      </c>
      <c r="CD22" s="214" t="str">
        <f>IF(AND(C22="Skema 1",B22="ma"),Skemaoplysninger!$E$39,"")</f>
        <v/>
      </c>
      <c r="CE22" s="214" t="str">
        <f>IF(AND(C22="Skema 1",B22="ti"),Skemaoplysninger!$F$39,"")</f>
        <v/>
      </c>
      <c r="CF22" s="214" t="str">
        <f>IF(AND(C22="Skema 1",B22="on"),Skemaoplysninger!$G$39,"")</f>
        <v/>
      </c>
      <c r="CG22" s="214" t="str">
        <f>IF(AND(C22="Skema 1",B22="to"),Skemaoplysninger!$H$39,"")</f>
        <v/>
      </c>
      <c r="CH22" s="214">
        <f>IF(AND(C22="Skema 1",B22="fr"),Skemaoplysninger!$I$39,"")</f>
        <v>0</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3"/>
        <v/>
      </c>
      <c r="DL22" t="str">
        <f t="shared" si="13"/>
        <v/>
      </c>
      <c r="DM22" t="str">
        <f t="shared" si="13"/>
        <v/>
      </c>
      <c r="DN22" t="str">
        <f t="shared" si="27"/>
        <v/>
      </c>
    </row>
    <row r="23" spans="1:118">
      <c r="A23" s="249">
        <f t="shared" si="14"/>
        <v>15</v>
      </c>
      <c r="B23" s="132" t="str">
        <f t="shared" si="0"/>
        <v>lø</v>
      </c>
      <c r="C23" s="133" t="s">
        <v>121</v>
      </c>
      <c r="D23" s="134" t="str">
        <f t="shared" si="1"/>
        <v/>
      </c>
      <c r="E23" s="868"/>
      <c r="F23" s="869"/>
      <c r="G23" s="870"/>
      <c r="H23" s="312"/>
      <c r="I23" s="440"/>
      <c r="J23" s="440"/>
      <c r="K23" s="405"/>
      <c r="L23" s="405"/>
      <c r="M23" s="405"/>
      <c r="N23" s="334">
        <f t="shared" si="15"/>
        <v>0</v>
      </c>
      <c r="O23" s="334">
        <f t="shared" si="16"/>
        <v>0</v>
      </c>
      <c r="P23" s="334">
        <f>IF(Stamoplysninger!$H$29="JA",Juni!DG23,CX23)</f>
        <v>0</v>
      </c>
      <c r="Q23" s="334">
        <f t="shared" si="17"/>
        <v>0</v>
      </c>
      <c r="R23" s="335"/>
      <c r="S23" s="341"/>
      <c r="T23" s="342"/>
      <c r="U23" s="342"/>
      <c r="V23" s="462"/>
      <c r="W23" s="336"/>
      <c r="X23" s="469"/>
      <c r="Y23">
        <f t="shared" si="18"/>
        <v>0</v>
      </c>
      <c r="Z23" s="467">
        <f t="shared" si="19"/>
        <v>0</v>
      </c>
      <c r="AA23" s="1">
        <f t="shared" si="2"/>
        <v>0</v>
      </c>
      <c r="AB23" s="1">
        <f t="shared" si="3"/>
        <v>0</v>
      </c>
      <c r="AC23" s="1">
        <f t="shared" si="4"/>
        <v>0</v>
      </c>
      <c r="AD23" s="1">
        <f t="shared" si="5"/>
        <v>0</v>
      </c>
      <c r="AE23" s="1">
        <f t="shared" si="6"/>
        <v>0</v>
      </c>
      <c r="AF23" s="1">
        <f>IF(C23="Orlov",7.4*Stamoplysninger!$E$15,0)</f>
        <v>0</v>
      </c>
      <c r="AG23" t="str">
        <f>IF(AND(C23="Skema 1",B23="ma"),Arbejdstidsoversigt!$E$44,"")</f>
        <v/>
      </c>
      <c r="AH23" t="str">
        <f>IF(AND(C23="Skema 1",B23="ti"),Arbejdstidsoversigt!$E$45,"")</f>
        <v/>
      </c>
      <c r="AI23" t="str">
        <f>IF(AND(C23="Skema 1",B23="on"),Arbejdstidsoversigt!$E$46,"")</f>
        <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7"/>
        <v>0</v>
      </c>
      <c r="BC23" s="1">
        <f t="shared" si="21"/>
        <v>0</v>
      </c>
      <c r="BD23" s="1">
        <f t="shared" si="8"/>
        <v>0</v>
      </c>
      <c r="BE23" s="1">
        <f t="shared" si="9"/>
        <v>0</v>
      </c>
      <c r="BF23" s="1">
        <f t="shared" si="10"/>
        <v>0</v>
      </c>
      <c r="BG23" s="214" t="str">
        <f>IF(AND(C23="Skema 1",B23="ma"),Skemaoplysninger!$E$30,"")</f>
        <v/>
      </c>
      <c r="BH23" s="214" t="str">
        <f>IF(AND(C23="Skema 1",B23="ti"),Skemaoplysninger!$F$30,"")</f>
        <v/>
      </c>
      <c r="BI23" s="214" t="str">
        <f>IF(AND(C23="Skema 1",B23="on"),Skemaoplysninger!$G$30,"")</f>
        <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1"/>
        <v>0</v>
      </c>
      <c r="CC23" s="1">
        <f t="shared" si="12"/>
        <v>0</v>
      </c>
      <c r="CD23" s="214" t="str">
        <f>IF(AND(C23="Skema 1",B23="ma"),Skemaoplysninger!$E$39,"")</f>
        <v/>
      </c>
      <c r="CE23" s="214" t="str">
        <f>IF(AND(C23="Skema 1",B23="ti"),Skemaoplysninger!$F$39,"")</f>
        <v/>
      </c>
      <c r="CF23" s="214" t="str">
        <f>IF(AND(C23="Skema 1",B23="on"),Skemaoplysninger!$G$39,"")</f>
        <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3"/>
        <v/>
      </c>
      <c r="DL23" t="str">
        <f t="shared" si="13"/>
        <v/>
      </c>
      <c r="DM23" t="str">
        <f t="shared" si="13"/>
        <v/>
      </c>
      <c r="DN23" t="str">
        <f t="shared" si="27"/>
        <v/>
      </c>
    </row>
    <row r="24" spans="1:118">
      <c r="A24" s="249">
        <f>IF(ISNUMBER(A23),A23+1,1)</f>
        <v>16</v>
      </c>
      <c r="B24" s="132" t="str">
        <f t="shared" si="0"/>
        <v>sø</v>
      </c>
      <c r="C24" s="133" t="s">
        <v>121</v>
      </c>
      <c r="D24" s="134" t="str">
        <f t="shared" si="1"/>
        <v/>
      </c>
      <c r="E24" s="871"/>
      <c r="F24" s="872"/>
      <c r="G24" s="873"/>
      <c r="H24" s="313"/>
      <c r="I24" s="440"/>
      <c r="J24" s="440"/>
      <c r="K24" s="405"/>
      <c r="L24" s="405"/>
      <c r="M24" s="405"/>
      <c r="N24" s="334">
        <f t="shared" si="15"/>
        <v>0</v>
      </c>
      <c r="O24" s="334">
        <f t="shared" si="16"/>
        <v>0</v>
      </c>
      <c r="P24" s="334">
        <f>IF(Stamoplysninger!$H$29="JA",Juni!DG24,CX24)</f>
        <v>0</v>
      </c>
      <c r="Q24" s="334">
        <f t="shared" si="17"/>
        <v>0</v>
      </c>
      <c r="R24" s="335"/>
      <c r="S24" s="341"/>
      <c r="T24" s="342"/>
      <c r="U24" s="342"/>
      <c r="V24" s="462"/>
      <c r="W24" s="336"/>
      <c r="X24" s="469"/>
      <c r="Y24">
        <f t="shared" si="18"/>
        <v>0</v>
      </c>
      <c r="Z24" s="467">
        <f t="shared" si="19"/>
        <v>0</v>
      </c>
      <c r="AA24" s="1">
        <f t="shared" si="2"/>
        <v>0</v>
      </c>
      <c r="AB24" s="1">
        <f t="shared" si="3"/>
        <v>0</v>
      </c>
      <c r="AC24" s="1">
        <f t="shared" si="4"/>
        <v>0</v>
      </c>
      <c r="AD24" s="1">
        <f t="shared" si="5"/>
        <v>0</v>
      </c>
      <c r="AE24" s="1">
        <f t="shared" si="6"/>
        <v>0</v>
      </c>
      <c r="AF24" s="1">
        <f>IF(C24="Orlov",7.4*Stamoplysninger!$E$15,0)</f>
        <v>0</v>
      </c>
      <c r="AG24" t="str">
        <f>IF(AND(C24="Skema 1",B24="ma"),Arbejdstidsoversigt!$E$44,"")</f>
        <v/>
      </c>
      <c r="AH24" t="str">
        <f>IF(AND(C24="Skema 1",B24="ti"),Arbejdstidsoversigt!$E$45,"")</f>
        <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7"/>
        <v>0</v>
      </c>
      <c r="BC24" s="1">
        <f t="shared" si="21"/>
        <v>0</v>
      </c>
      <c r="BD24" s="1">
        <f t="shared" si="8"/>
        <v>0</v>
      </c>
      <c r="BE24" s="1">
        <f t="shared" si="9"/>
        <v>0</v>
      </c>
      <c r="BF24" s="1">
        <f t="shared" si="10"/>
        <v>0</v>
      </c>
      <c r="BG24" s="214" t="str">
        <f>IF(AND(C24="Skema 1",B24="ma"),Skemaoplysninger!$E$30,"")</f>
        <v/>
      </c>
      <c r="BH24" s="214" t="str">
        <f>IF(AND(C24="Skema 1",B24="ti"),Skemaoplysninger!$F$30,"")</f>
        <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1"/>
        <v>0</v>
      </c>
      <c r="CC24" s="1">
        <f t="shared" si="12"/>
        <v>0</v>
      </c>
      <c r="CD24" s="214" t="str">
        <f>IF(AND(C24="Skema 1",B24="ma"),Skemaoplysninger!$E$39,"")</f>
        <v/>
      </c>
      <c r="CE24" s="214" t="str">
        <f>IF(AND(C24="Skema 1",B24="ti"),Skemaoplysninger!$F$39,"")</f>
        <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f t="shared" si="25"/>
        <v>0</v>
      </c>
      <c r="DJ24">
        <f t="shared" si="26"/>
        <v>0</v>
      </c>
      <c r="DK24" t="str">
        <f t="shared" si="13"/>
        <v/>
      </c>
      <c r="DL24" t="str">
        <f t="shared" si="13"/>
        <v/>
      </c>
      <c r="DM24" t="str">
        <f t="shared" si="13"/>
        <v/>
      </c>
      <c r="DN24" t="str">
        <f t="shared" si="27"/>
        <v/>
      </c>
    </row>
    <row r="25" spans="1:118">
      <c r="A25" s="249">
        <f t="shared" si="14"/>
        <v>17</v>
      </c>
      <c r="B25" s="132" t="str">
        <f t="shared" si="0"/>
        <v>ma</v>
      </c>
      <c r="C25" s="133" t="s">
        <v>209</v>
      </c>
      <c r="D25" s="134">
        <f t="shared" si="1"/>
        <v>25</v>
      </c>
      <c r="E25" s="871"/>
      <c r="F25" s="872"/>
      <c r="G25" s="873"/>
      <c r="H25" s="313"/>
      <c r="I25" s="582"/>
      <c r="J25" s="440"/>
      <c r="K25" s="405"/>
      <c r="L25" s="405"/>
      <c r="M25" s="405"/>
      <c r="N25" s="334">
        <f t="shared" si="15"/>
        <v>0</v>
      </c>
      <c r="O25" s="334">
        <f t="shared" si="16"/>
        <v>0</v>
      </c>
      <c r="P25" s="334">
        <f>IF(Stamoplysninger!$H$29="JA",Juni!DG25,CX25)</f>
        <v>0</v>
      </c>
      <c r="Q25" s="334">
        <f t="shared" si="17"/>
        <v>0</v>
      </c>
      <c r="R25" s="335"/>
      <c r="S25" s="341"/>
      <c r="T25" s="342"/>
      <c r="U25" s="342"/>
      <c r="V25" s="462"/>
      <c r="W25" s="336"/>
      <c r="X25" s="469"/>
      <c r="Y25">
        <f t="shared" si="18"/>
        <v>0</v>
      </c>
      <c r="Z25" s="467">
        <f t="shared" si="19"/>
        <v>0</v>
      </c>
      <c r="AA25" s="1">
        <f t="shared" si="2"/>
        <v>0</v>
      </c>
      <c r="AB25" s="1">
        <f t="shared" si="3"/>
        <v>0</v>
      </c>
      <c r="AC25" s="1">
        <f t="shared" si="4"/>
        <v>0</v>
      </c>
      <c r="AD25" s="1">
        <f t="shared" si="5"/>
        <v>0</v>
      </c>
      <c r="AE25" s="1">
        <f t="shared" si="6"/>
        <v>0</v>
      </c>
      <c r="AF25" s="1">
        <f>IF(C25="Orlov",7.4*Stamoplysninger!$E$15,0)</f>
        <v>0</v>
      </c>
      <c r="AG25">
        <f>IF(AND(C25="Skema 1",B25="ma"),Arbejdstidsoversigt!$E$44,"")</f>
        <v>0</v>
      </c>
      <c r="AH25" t="str">
        <f>IF(AND(C25="Skema 1",B25="ti"),Arbejdstidsoversigt!$E$45,"")</f>
        <v/>
      </c>
      <c r="AI25" t="str">
        <f>IF(AND(C25="Skema 1",B25="on"),Arbejdstidsoversigt!$E$46,"")</f>
        <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7"/>
        <v>0</v>
      </c>
      <c r="BC25" s="1">
        <f t="shared" si="21"/>
        <v>0</v>
      </c>
      <c r="BD25" s="1">
        <f t="shared" si="8"/>
        <v>0</v>
      </c>
      <c r="BE25" s="1">
        <f t="shared" si="9"/>
        <v>0</v>
      </c>
      <c r="BF25" s="1">
        <f t="shared" si="10"/>
        <v>0</v>
      </c>
      <c r="BG25" s="214">
        <f>IF(AND(C25="Skema 1",B25="ma"),Skemaoplysninger!$E$30,"")</f>
        <v>0</v>
      </c>
      <c r="BH25" s="214" t="str">
        <f>IF(AND(C25="Skema 1",B25="ti"),Skemaoplysninger!$F$30,"")</f>
        <v/>
      </c>
      <c r="BI25" s="214" t="str">
        <f>IF(AND(C25="Skema 1",B25="on"),Skemaoplysninger!$G$30,"")</f>
        <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1"/>
        <v>0</v>
      </c>
      <c r="CC25" s="1">
        <f t="shared" si="12"/>
        <v>0</v>
      </c>
      <c r="CD25" s="214">
        <f>IF(AND(C25="Skema 1",B25="ma"),Skemaoplysninger!$E$39,"")</f>
        <v>0</v>
      </c>
      <c r="CE25" s="214" t="str">
        <f>IF(AND(C25="Skema 1",B25="ti"),Skemaoplysninger!$F$39,"")</f>
        <v/>
      </c>
      <c r="CF25" s="214" t="str">
        <f>IF(AND(C25="Skema 1",B25="on"),Skemaoplysninger!$G$39,"")</f>
        <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3"/>
        <v/>
      </c>
      <c r="DL25" t="str">
        <f t="shared" si="13"/>
        <v/>
      </c>
      <c r="DM25" t="str">
        <f t="shared" si="13"/>
        <v/>
      </c>
      <c r="DN25" t="str">
        <f t="shared" si="27"/>
        <v/>
      </c>
    </row>
    <row r="26" spans="1:118">
      <c r="A26" s="249">
        <f t="shared" si="14"/>
        <v>18</v>
      </c>
      <c r="B26" s="132" t="str">
        <f t="shared" si="0"/>
        <v>ti</v>
      </c>
      <c r="C26" s="133" t="s">
        <v>209</v>
      </c>
      <c r="D26" s="134" t="str">
        <f t="shared" si="1"/>
        <v/>
      </c>
      <c r="E26" s="871"/>
      <c r="F26" s="872"/>
      <c r="G26" s="873"/>
      <c r="H26" s="313"/>
      <c r="I26" s="582"/>
      <c r="J26" s="440"/>
      <c r="K26" s="405"/>
      <c r="L26" s="405"/>
      <c r="M26" s="405"/>
      <c r="N26" s="334">
        <f t="shared" si="15"/>
        <v>0</v>
      </c>
      <c r="O26" s="334">
        <f t="shared" si="16"/>
        <v>0</v>
      </c>
      <c r="P26" s="334">
        <f>IF(Stamoplysninger!$H$29="JA",Juni!DG26,CX26)</f>
        <v>0</v>
      </c>
      <c r="Q26" s="334">
        <f t="shared" si="17"/>
        <v>0</v>
      </c>
      <c r="R26" s="335"/>
      <c r="S26" s="341"/>
      <c r="T26" s="342"/>
      <c r="U26" s="342"/>
      <c r="V26" s="462"/>
      <c r="W26" s="336"/>
      <c r="X26" s="469"/>
      <c r="Y26">
        <f t="shared" si="18"/>
        <v>0</v>
      </c>
      <c r="Z26" s="467">
        <f t="shared" si="19"/>
        <v>0</v>
      </c>
      <c r="AA26" s="1">
        <f t="shared" si="2"/>
        <v>0</v>
      </c>
      <c r="AB26" s="1">
        <f t="shared" si="3"/>
        <v>0</v>
      </c>
      <c r="AC26" s="1">
        <f t="shared" si="4"/>
        <v>0</v>
      </c>
      <c r="AD26" s="1">
        <f t="shared" si="5"/>
        <v>0</v>
      </c>
      <c r="AE26" s="1">
        <f t="shared" si="6"/>
        <v>0</v>
      </c>
      <c r="AF26" s="1">
        <f>IF(C26="Orlov",7.4*Stamoplysninger!$E$15,0)</f>
        <v>0</v>
      </c>
      <c r="AG26" t="str">
        <f>IF(AND(C26="Skema 1",B26="ma"),Arbejdstidsoversigt!$E$44,"")</f>
        <v/>
      </c>
      <c r="AH26">
        <f>IF(AND(C26="Skema 1",B26="ti"),Arbejdstidsoversigt!$E$45,"")</f>
        <v>0</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7"/>
        <v>0</v>
      </c>
      <c r="BC26" s="1">
        <f t="shared" si="21"/>
        <v>0</v>
      </c>
      <c r="BD26" s="1">
        <f t="shared" si="8"/>
        <v>0</v>
      </c>
      <c r="BE26" s="1">
        <f t="shared" si="9"/>
        <v>0</v>
      </c>
      <c r="BF26" s="1">
        <f t="shared" si="10"/>
        <v>0</v>
      </c>
      <c r="BG26" s="214" t="str">
        <f>IF(AND(C26="Skema 1",B26="ma"),Skemaoplysninger!$E$30,"")</f>
        <v/>
      </c>
      <c r="BH26" s="214">
        <f>IF(AND(C26="Skema 1",B26="ti"),Skemaoplysninger!$F$30,"")</f>
        <v>0</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1"/>
        <v>0</v>
      </c>
      <c r="CC26" s="1">
        <f t="shared" si="12"/>
        <v>0</v>
      </c>
      <c r="CD26" s="214" t="str">
        <f>IF(AND(C26="Skema 1",B26="ma"),Skemaoplysninger!$E$39,"")</f>
        <v/>
      </c>
      <c r="CE26" s="214">
        <f>IF(AND(C26="Skema 1",B26="ti"),Skemaoplysninger!$F$39,"")</f>
        <v>0</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3"/>
        <v/>
      </c>
      <c r="DL26" t="str">
        <f t="shared" si="13"/>
        <v/>
      </c>
      <c r="DM26" t="str">
        <f t="shared" si="13"/>
        <v/>
      </c>
      <c r="DN26" t="str">
        <f t="shared" si="27"/>
        <v/>
      </c>
    </row>
    <row r="27" spans="1:118">
      <c r="A27" s="249">
        <f t="shared" si="14"/>
        <v>19</v>
      </c>
      <c r="B27" s="132" t="str">
        <f t="shared" si="0"/>
        <v>on</v>
      </c>
      <c r="C27" s="133" t="s">
        <v>209</v>
      </c>
      <c r="D27" s="134" t="str">
        <f t="shared" si="1"/>
        <v/>
      </c>
      <c r="E27" s="871"/>
      <c r="F27" s="872"/>
      <c r="G27" s="873"/>
      <c r="H27" s="313"/>
      <c r="I27" s="582"/>
      <c r="J27" s="440"/>
      <c r="K27" s="405"/>
      <c r="L27" s="405"/>
      <c r="M27" s="405"/>
      <c r="N27" s="334">
        <f t="shared" si="15"/>
        <v>0</v>
      </c>
      <c r="O27" s="334">
        <f t="shared" si="16"/>
        <v>0</v>
      </c>
      <c r="P27" s="334">
        <f>IF(Stamoplysninger!$H$29="JA",Juni!DG27,CX27)</f>
        <v>0</v>
      </c>
      <c r="Q27" s="334">
        <f t="shared" si="17"/>
        <v>0</v>
      </c>
      <c r="R27" s="335"/>
      <c r="S27" s="341"/>
      <c r="T27" s="342"/>
      <c r="U27" s="342"/>
      <c r="V27" s="462"/>
      <c r="W27" s="336"/>
      <c r="X27" s="469"/>
      <c r="Y27">
        <f t="shared" si="18"/>
        <v>0</v>
      </c>
      <c r="Z27" s="467">
        <f t="shared" si="19"/>
        <v>0</v>
      </c>
      <c r="AA27" s="1">
        <f t="shared" si="2"/>
        <v>0</v>
      </c>
      <c r="AB27" s="1">
        <f t="shared" si="3"/>
        <v>0</v>
      </c>
      <c r="AC27" s="1">
        <f t="shared" si="4"/>
        <v>0</v>
      </c>
      <c r="AD27" s="1">
        <f t="shared" si="5"/>
        <v>0</v>
      </c>
      <c r="AE27" s="1">
        <f t="shared" si="6"/>
        <v>0</v>
      </c>
      <c r="AF27" s="1">
        <f>IF(C27="Orlov",7.4*Stamoplysninger!$E$15,0)</f>
        <v>0</v>
      </c>
      <c r="AG27" t="str">
        <f>IF(AND(C27="Skema 1",B27="ma"),Arbejdstidsoversigt!$E$44,"")</f>
        <v/>
      </c>
      <c r="AH27" t="str">
        <f>IF(AND(C27="Skema 1",B27="ti"),Arbejdstidsoversigt!$E$45,"")</f>
        <v/>
      </c>
      <c r="AI27">
        <f>IF(AND(C27="Skema 1",B27="on"),Arbejdstidsoversigt!$E$46,"")</f>
        <v>0</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7"/>
        <v>0</v>
      </c>
      <c r="BC27" s="1">
        <f t="shared" si="21"/>
        <v>0</v>
      </c>
      <c r="BD27" s="1">
        <f t="shared" si="8"/>
        <v>0</v>
      </c>
      <c r="BE27" s="1">
        <f t="shared" si="9"/>
        <v>0</v>
      </c>
      <c r="BF27" s="1">
        <f t="shared" si="10"/>
        <v>0</v>
      </c>
      <c r="BG27" s="214" t="str">
        <f>IF(AND(C27="Skema 1",B27="ma"),Skemaoplysninger!$E$30,"")</f>
        <v/>
      </c>
      <c r="BH27" s="214" t="str">
        <f>IF(AND(C27="Skema 1",B27="ti"),Skemaoplysninger!$F$30,"")</f>
        <v/>
      </c>
      <c r="BI27" s="214">
        <f>IF(AND(C27="Skema 1",B27="on"),Skemaoplysninger!$G$30,"")</f>
        <v>0</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1"/>
        <v>0</v>
      </c>
      <c r="CC27" s="1">
        <f t="shared" si="12"/>
        <v>0</v>
      </c>
      <c r="CD27" s="214" t="str">
        <f>IF(AND(C27="Skema 1",B27="ma"),Skemaoplysninger!$E$39,"")</f>
        <v/>
      </c>
      <c r="CE27" s="214" t="str">
        <f>IF(AND(C27="Skema 1",B27="ti"),Skemaoplysninger!$F$39,"")</f>
        <v/>
      </c>
      <c r="CF27" s="214">
        <f>IF(AND(C27="Skema 1",B27="on"),Skemaoplysninger!$G$39,"")</f>
        <v>0</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f t="shared" si="25"/>
        <v>0</v>
      </c>
      <c r="DJ27">
        <f t="shared" si="26"/>
        <v>0</v>
      </c>
      <c r="DK27" t="str">
        <f t="shared" si="13"/>
        <v/>
      </c>
      <c r="DL27" t="str">
        <f t="shared" si="13"/>
        <v/>
      </c>
      <c r="DM27" t="str">
        <f t="shared" si="13"/>
        <v/>
      </c>
      <c r="DN27" t="str">
        <f t="shared" si="27"/>
        <v/>
      </c>
    </row>
    <row r="28" spans="1:118">
      <c r="A28" s="249">
        <f t="shared" si="14"/>
        <v>20</v>
      </c>
      <c r="B28" s="132" t="str">
        <f t="shared" si="0"/>
        <v>to</v>
      </c>
      <c r="C28" s="133" t="s">
        <v>209</v>
      </c>
      <c r="D28" s="134" t="str">
        <f t="shared" si="1"/>
        <v/>
      </c>
      <c r="E28" s="871"/>
      <c r="F28" s="872"/>
      <c r="G28" s="873"/>
      <c r="H28" s="313"/>
      <c r="I28" s="582"/>
      <c r="J28" s="440"/>
      <c r="K28" s="405"/>
      <c r="L28" s="405"/>
      <c r="M28" s="405"/>
      <c r="N28" s="334">
        <f t="shared" si="15"/>
        <v>0</v>
      </c>
      <c r="O28" s="334">
        <f t="shared" si="16"/>
        <v>0</v>
      </c>
      <c r="P28" s="334">
        <f>IF(Stamoplysninger!$H$29="JA",Juni!DG28,CX28)</f>
        <v>0</v>
      </c>
      <c r="Q28" s="334">
        <f t="shared" si="17"/>
        <v>0</v>
      </c>
      <c r="R28" s="335"/>
      <c r="S28" s="341"/>
      <c r="T28" s="342"/>
      <c r="U28" s="342"/>
      <c r="V28" s="462"/>
      <c r="W28" s="336"/>
      <c r="X28" s="469"/>
      <c r="Y28">
        <f t="shared" si="18"/>
        <v>0</v>
      </c>
      <c r="Z28" s="467">
        <f t="shared" si="19"/>
        <v>0</v>
      </c>
      <c r="AA28" s="1">
        <f t="shared" si="2"/>
        <v>0</v>
      </c>
      <c r="AB28" s="1">
        <f t="shared" si="3"/>
        <v>0</v>
      </c>
      <c r="AC28" s="1">
        <f t="shared" si="4"/>
        <v>0</v>
      </c>
      <c r="AD28" s="1">
        <f t="shared" si="5"/>
        <v>0</v>
      </c>
      <c r="AE28" s="1">
        <f t="shared" si="6"/>
        <v>0</v>
      </c>
      <c r="AF28" s="1">
        <f>IF(C28="Orlov",7.4*Stamoplysninger!$E$15,0)</f>
        <v>0</v>
      </c>
      <c r="AG28" t="str">
        <f>IF(AND(C28="Skema 1",B28="ma"),Arbejdstidsoversigt!$E$44,"")</f>
        <v/>
      </c>
      <c r="AH28" t="str">
        <f>IF(AND(C28="Skema 1",B28="ti"),Arbejdstidsoversigt!$E$45,"")</f>
        <v/>
      </c>
      <c r="AI28" t="str">
        <f>IF(AND(C28="Skema 1",B28="on"),Arbejdstidsoversigt!$E$46,"")</f>
        <v/>
      </c>
      <c r="AJ28">
        <f>IF(AND(C28="Skema 1",B28="to"),Arbejdstidsoversigt!$E$47,"")</f>
        <v>0</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7"/>
        <v>0</v>
      </c>
      <c r="BC28" s="1">
        <f t="shared" si="21"/>
        <v>0</v>
      </c>
      <c r="BD28" s="1">
        <f t="shared" si="8"/>
        <v>0</v>
      </c>
      <c r="BE28" s="1">
        <f t="shared" si="9"/>
        <v>0</v>
      </c>
      <c r="BF28" s="1">
        <f t="shared" si="10"/>
        <v>0</v>
      </c>
      <c r="BG28" s="214" t="str">
        <f>IF(AND(C28="Skema 1",B28="ma"),Skemaoplysninger!$E$30,"")</f>
        <v/>
      </c>
      <c r="BH28" s="214" t="str">
        <f>IF(AND(C28="Skema 1",B28="ti"),Skemaoplysninger!$F$30,"")</f>
        <v/>
      </c>
      <c r="BI28" s="214" t="str">
        <f>IF(AND(C28="Skema 1",B28="on"),Skemaoplysninger!$G$30,"")</f>
        <v/>
      </c>
      <c r="BJ28" s="214">
        <f>IF(AND(C28="Skema 1",B28="to"),Skemaoplysninger!$H$30,"")</f>
        <v>0</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1"/>
        <v>0</v>
      </c>
      <c r="CC28" s="1">
        <f t="shared" si="12"/>
        <v>0</v>
      </c>
      <c r="CD28" s="214" t="str">
        <f>IF(AND(C28="Skema 1",B28="ma"),Skemaoplysninger!$E$39,"")</f>
        <v/>
      </c>
      <c r="CE28" s="214" t="str">
        <f>IF(AND(C28="Skema 1",B28="ti"),Skemaoplysninger!$F$39,"")</f>
        <v/>
      </c>
      <c r="CF28" s="214" t="str">
        <f>IF(AND(C28="Skema 1",B28="on"),Skemaoplysninger!$G$39,"")</f>
        <v/>
      </c>
      <c r="CG28" s="214">
        <f>IF(AND(C28="Skema 1",B28="to"),Skemaoplysninger!$H$39,"")</f>
        <v>0</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3"/>
        <v/>
      </c>
      <c r="DL28" t="str">
        <f t="shared" si="13"/>
        <v/>
      </c>
      <c r="DM28" t="str">
        <f t="shared" si="13"/>
        <v/>
      </c>
      <c r="DN28" t="str">
        <f t="shared" si="27"/>
        <v/>
      </c>
    </row>
    <row r="29" spans="1:118">
      <c r="A29" s="249">
        <f t="shared" si="14"/>
        <v>21</v>
      </c>
      <c r="B29" s="132" t="str">
        <f t="shared" si="0"/>
        <v>fr</v>
      </c>
      <c r="C29" s="133" t="s">
        <v>209</v>
      </c>
      <c r="D29" s="134" t="str">
        <f t="shared" si="1"/>
        <v/>
      </c>
      <c r="E29" s="871"/>
      <c r="F29" s="872"/>
      <c r="G29" s="873"/>
      <c r="H29" s="313"/>
      <c r="I29" s="582"/>
      <c r="J29" s="440"/>
      <c r="K29" s="405"/>
      <c r="L29" s="405"/>
      <c r="M29" s="405"/>
      <c r="N29" s="334">
        <f t="shared" si="15"/>
        <v>0</v>
      </c>
      <c r="O29" s="334">
        <f t="shared" si="16"/>
        <v>0</v>
      </c>
      <c r="P29" s="334">
        <f>IF(Stamoplysninger!$H$29="JA",Juni!DG29,CX29)</f>
        <v>0</v>
      </c>
      <c r="Q29" s="334">
        <f t="shared" si="17"/>
        <v>0</v>
      </c>
      <c r="R29" s="335"/>
      <c r="S29" s="341"/>
      <c r="T29" s="342"/>
      <c r="U29" s="342"/>
      <c r="V29" s="462"/>
      <c r="W29" s="336"/>
      <c r="X29" s="469"/>
      <c r="Y29">
        <f t="shared" si="18"/>
        <v>0</v>
      </c>
      <c r="Z29" s="467">
        <f t="shared" si="19"/>
        <v>0</v>
      </c>
      <c r="AA29" s="1">
        <f t="shared" si="2"/>
        <v>0</v>
      </c>
      <c r="AB29" s="1">
        <f t="shared" si="3"/>
        <v>0</v>
      </c>
      <c r="AC29" s="1">
        <f t="shared" si="4"/>
        <v>0</v>
      </c>
      <c r="AD29" s="1">
        <f t="shared" si="5"/>
        <v>0</v>
      </c>
      <c r="AE29" s="1">
        <f t="shared" si="6"/>
        <v>0</v>
      </c>
      <c r="AF29" s="1">
        <f>IF(C29="Orlov",7.4*Stamoplysninger!$E$15,0)</f>
        <v>0</v>
      </c>
      <c r="AG29" t="str">
        <f>IF(AND(C29="Skema 1",B29="ma"),Arbejdstidsoversigt!$E$44,"")</f>
        <v/>
      </c>
      <c r="AH29" t="str">
        <f>IF(AND(C29="Skema 1",B29="ti"),Arbejdstidsoversigt!$E$45,"")</f>
        <v/>
      </c>
      <c r="AI29" t="str">
        <f>IF(AND(C29="Skema 1",B29="on"),Arbejdstidsoversigt!$E$46,"")</f>
        <v/>
      </c>
      <c r="AJ29" t="str">
        <f>IF(AND(C29="Skema 1",B29="to"),Arbejdstidsoversigt!$E$47,"")</f>
        <v/>
      </c>
      <c r="AK29">
        <f>IF(AND(C29="Skema 1",B29="fr"),Arbejdstidsoversigt!$E$48,"")</f>
        <v>0</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7"/>
        <v>0</v>
      </c>
      <c r="BC29" s="1">
        <f t="shared" si="21"/>
        <v>0</v>
      </c>
      <c r="BD29" s="1">
        <f t="shared" si="8"/>
        <v>0</v>
      </c>
      <c r="BE29" s="1">
        <f t="shared" si="9"/>
        <v>0</v>
      </c>
      <c r="BF29" s="1">
        <f t="shared" si="10"/>
        <v>0</v>
      </c>
      <c r="BG29" s="214" t="str">
        <f>IF(AND(C29="Skema 1",B29="ma"),Skemaoplysninger!$E$30,"")</f>
        <v/>
      </c>
      <c r="BH29" s="214" t="str">
        <f>IF(AND(C29="Skema 1",B29="ti"),Skemaoplysninger!$F$30,"")</f>
        <v/>
      </c>
      <c r="BI29" s="214" t="str">
        <f>IF(AND(C29="Skema 1",B29="on"),Skemaoplysninger!$G$30,"")</f>
        <v/>
      </c>
      <c r="BJ29" s="214" t="str">
        <f>IF(AND(C29="Skema 1",B29="to"),Skemaoplysninger!$H$30,"")</f>
        <v/>
      </c>
      <c r="BK29" s="214">
        <f>IF(AND(C29="Skema 1",B29="fr"),Skemaoplysninger!$I$30,"")</f>
        <v>0</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1"/>
        <v>0</v>
      </c>
      <c r="CC29" s="1">
        <f t="shared" si="12"/>
        <v>0</v>
      </c>
      <c r="CD29" s="214" t="str">
        <f>IF(AND(C29="Skema 1",B29="ma"),Skemaoplysninger!$E$39,"")</f>
        <v/>
      </c>
      <c r="CE29" s="214" t="str">
        <f>IF(AND(C29="Skema 1",B29="ti"),Skemaoplysninger!$F$39,"")</f>
        <v/>
      </c>
      <c r="CF29" s="214" t="str">
        <f>IF(AND(C29="Skema 1",B29="on"),Skemaoplysninger!$G$39,"")</f>
        <v/>
      </c>
      <c r="CG29" s="214" t="str">
        <f>IF(AND(C29="Skema 1",B29="to"),Skemaoplysninger!$H$39,"")</f>
        <v/>
      </c>
      <c r="CH29" s="214">
        <f>IF(AND(C29="Skema 1",B29="fr"),Skemaoplysninger!$I$39,"")</f>
        <v>0</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3"/>
        <v/>
      </c>
      <c r="DL29" t="str">
        <f t="shared" si="13"/>
        <v/>
      </c>
      <c r="DM29" t="str">
        <f t="shared" si="13"/>
        <v/>
      </c>
      <c r="DN29" t="str">
        <f t="shared" si="27"/>
        <v/>
      </c>
    </row>
    <row r="30" spans="1:118">
      <c r="A30" s="249">
        <f t="shared" si="14"/>
        <v>22</v>
      </c>
      <c r="B30" s="132" t="str">
        <f t="shared" si="0"/>
        <v>lø</v>
      </c>
      <c r="C30" s="133" t="s">
        <v>121</v>
      </c>
      <c r="D30" s="134" t="str">
        <f t="shared" si="1"/>
        <v/>
      </c>
      <c r="E30" s="871"/>
      <c r="F30" s="872"/>
      <c r="G30" s="873"/>
      <c r="H30" s="313"/>
      <c r="I30" s="440"/>
      <c r="J30" s="440"/>
      <c r="K30" s="405"/>
      <c r="L30" s="405"/>
      <c r="M30" s="405"/>
      <c r="N30" s="334">
        <f t="shared" si="15"/>
        <v>0</v>
      </c>
      <c r="O30" s="334">
        <f t="shared" si="16"/>
        <v>0</v>
      </c>
      <c r="P30" s="334">
        <f>IF(Stamoplysninger!$H$29="JA",Juni!DG30,CX30)</f>
        <v>0</v>
      </c>
      <c r="Q30" s="334">
        <f t="shared" si="17"/>
        <v>0</v>
      </c>
      <c r="R30" s="335"/>
      <c r="S30" s="341"/>
      <c r="T30" s="342"/>
      <c r="U30" s="342"/>
      <c r="V30" s="462"/>
      <c r="W30" s="336"/>
      <c r="X30" s="469"/>
      <c r="Y30">
        <f t="shared" si="18"/>
        <v>0</v>
      </c>
      <c r="Z30" s="467">
        <f t="shared" si="19"/>
        <v>0</v>
      </c>
      <c r="AA30" s="1">
        <f t="shared" si="2"/>
        <v>0</v>
      </c>
      <c r="AB30" s="1">
        <f t="shared" si="3"/>
        <v>0</v>
      </c>
      <c r="AC30" s="1">
        <f t="shared" si="4"/>
        <v>0</v>
      </c>
      <c r="AD30" s="1">
        <f t="shared" si="5"/>
        <v>0</v>
      </c>
      <c r="AE30" s="1">
        <f t="shared" si="6"/>
        <v>0</v>
      </c>
      <c r="AF30" s="1">
        <f>IF(C30="Orlov",7.4*Stamoplysninger!$E$15,0)</f>
        <v>0</v>
      </c>
      <c r="AG30" t="str">
        <f>IF(AND(C30="Skema 1",B30="ma"),Arbejdstidsoversigt!$E$44,"")</f>
        <v/>
      </c>
      <c r="AH30" t="str">
        <f>IF(AND(C30="Skema 1",B30="ti"),Arbejdstidsoversigt!$E$45,"")</f>
        <v/>
      </c>
      <c r="AI30" t="str">
        <f>IF(AND(C30="Skema 1",B30="on"),Arbejdstidsoversigt!$E$46,"")</f>
        <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7"/>
        <v>0</v>
      </c>
      <c r="BC30" s="1">
        <f t="shared" si="21"/>
        <v>0</v>
      </c>
      <c r="BD30" s="1">
        <f t="shared" si="8"/>
        <v>0</v>
      </c>
      <c r="BE30" s="1">
        <f t="shared" si="9"/>
        <v>0</v>
      </c>
      <c r="BF30" s="1">
        <f t="shared" si="10"/>
        <v>0</v>
      </c>
      <c r="BG30" s="214" t="str">
        <f>IF(AND(C30="Skema 1",B30="ma"),Skemaoplysninger!$E$30,"")</f>
        <v/>
      </c>
      <c r="BH30" s="214" t="str">
        <f>IF(AND(C30="Skema 1",B30="ti"),Skemaoplysninger!$F$30,"")</f>
        <v/>
      </c>
      <c r="BI30" s="214" t="str">
        <f>IF(AND(C30="Skema 1",B30="on"),Skemaoplysninger!$G$30,"")</f>
        <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1"/>
        <v>0</v>
      </c>
      <c r="CC30" s="1">
        <f t="shared" si="12"/>
        <v>0</v>
      </c>
      <c r="CD30" s="214" t="str">
        <f>IF(AND(C30="Skema 1",B30="ma"),Skemaoplysninger!$E$39,"")</f>
        <v/>
      </c>
      <c r="CE30" s="214" t="str">
        <f>IF(AND(C30="Skema 1",B30="ti"),Skemaoplysninger!$F$39,"")</f>
        <v/>
      </c>
      <c r="CF30" s="214" t="str">
        <f>IF(AND(C30="Skema 1",B30="on"),Skemaoplysninger!$G$39,"")</f>
        <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3"/>
        <v/>
      </c>
      <c r="DL30" t="str">
        <f t="shared" si="13"/>
        <v/>
      </c>
      <c r="DM30" t="str">
        <f t="shared" si="13"/>
        <v/>
      </c>
      <c r="DN30" t="str">
        <f t="shared" si="27"/>
        <v/>
      </c>
    </row>
    <row r="31" spans="1:118">
      <c r="A31" s="249">
        <f t="shared" si="14"/>
        <v>23</v>
      </c>
      <c r="B31" s="132" t="str">
        <f t="shared" si="0"/>
        <v>sø</v>
      </c>
      <c r="C31" s="133" t="s">
        <v>121</v>
      </c>
      <c r="D31" s="134" t="str">
        <f t="shared" si="1"/>
        <v/>
      </c>
      <c r="E31" s="871"/>
      <c r="F31" s="872"/>
      <c r="G31" s="873"/>
      <c r="H31" s="313"/>
      <c r="I31" s="440"/>
      <c r="J31" s="440"/>
      <c r="K31" s="405"/>
      <c r="L31" s="405"/>
      <c r="M31" s="405"/>
      <c r="N31" s="334">
        <f t="shared" si="15"/>
        <v>0</v>
      </c>
      <c r="O31" s="334">
        <f t="shared" si="16"/>
        <v>0</v>
      </c>
      <c r="P31" s="334">
        <f>IF(Stamoplysninger!$H$29="JA",Juni!DG31,CX31)</f>
        <v>0</v>
      </c>
      <c r="Q31" s="334">
        <f t="shared" si="17"/>
        <v>0</v>
      </c>
      <c r="R31" s="335"/>
      <c r="S31" s="341"/>
      <c r="T31" s="342"/>
      <c r="U31" s="342"/>
      <c r="V31" s="462"/>
      <c r="W31" s="336"/>
      <c r="X31" s="469"/>
      <c r="Y31">
        <f t="shared" si="18"/>
        <v>0</v>
      </c>
      <c r="Z31" s="467">
        <f t="shared" si="19"/>
        <v>0</v>
      </c>
      <c r="AA31" s="1">
        <f t="shared" si="2"/>
        <v>0</v>
      </c>
      <c r="AB31" s="1">
        <f t="shared" si="3"/>
        <v>0</v>
      </c>
      <c r="AC31" s="1">
        <f t="shared" si="4"/>
        <v>0</v>
      </c>
      <c r="AD31" s="1">
        <f t="shared" si="5"/>
        <v>0</v>
      </c>
      <c r="AE31" s="1">
        <f t="shared" si="6"/>
        <v>0</v>
      </c>
      <c r="AF31" s="1">
        <f>IF(C31="Orlov",7.4*Stamoplysninger!$E$15,0)</f>
        <v>0</v>
      </c>
      <c r="AG31" t="str">
        <f>IF(AND(C31="Skema 1",B31="ma"),Arbejdstidsoversigt!$E$44,"")</f>
        <v/>
      </c>
      <c r="AH31" t="str">
        <f>IF(AND(C31="Skema 1",B31="ti"),Arbejdstidsoversigt!$E$45,"")</f>
        <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7"/>
        <v>0</v>
      </c>
      <c r="BC31" s="1">
        <f t="shared" si="21"/>
        <v>0</v>
      </c>
      <c r="BD31" s="1">
        <f t="shared" si="8"/>
        <v>0</v>
      </c>
      <c r="BE31" s="1">
        <f t="shared" si="9"/>
        <v>0</v>
      </c>
      <c r="BF31" s="1">
        <f t="shared" si="10"/>
        <v>0</v>
      </c>
      <c r="BG31" s="214" t="str">
        <f>IF(AND(C31="Skema 1",B31="ma"),Skemaoplysninger!$E$30,"")</f>
        <v/>
      </c>
      <c r="BH31" s="214" t="str">
        <f>IF(AND(C31="Skema 1",B31="ti"),Skemaoplysninger!$F$30,"")</f>
        <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1"/>
        <v>0</v>
      </c>
      <c r="CC31" s="1">
        <f t="shared" si="12"/>
        <v>0</v>
      </c>
      <c r="CD31" s="214" t="str">
        <f>IF(AND(C31="Skema 1",B31="ma"),Skemaoplysninger!$E$39,"")</f>
        <v/>
      </c>
      <c r="CE31" s="214" t="str">
        <f>IF(AND(C31="Skema 1",B31="ti"),Skemaoplysninger!$F$39,"")</f>
        <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3"/>
        <v/>
      </c>
      <c r="DL31" t="str">
        <f t="shared" si="13"/>
        <v/>
      </c>
      <c r="DM31" t="str">
        <f t="shared" si="13"/>
        <v/>
      </c>
      <c r="DN31" t="str">
        <f t="shared" si="27"/>
        <v/>
      </c>
    </row>
    <row r="32" spans="1:118">
      <c r="A32" s="249">
        <f t="shared" si="14"/>
        <v>24</v>
      </c>
      <c r="B32" s="132" t="str">
        <f t="shared" si="0"/>
        <v>ma</v>
      </c>
      <c r="C32" s="133" t="s">
        <v>209</v>
      </c>
      <c r="D32" s="134">
        <f t="shared" si="1"/>
        <v>26</v>
      </c>
      <c r="E32" s="868"/>
      <c r="F32" s="869"/>
      <c r="G32" s="870"/>
      <c r="H32" s="313"/>
      <c r="I32" s="582"/>
      <c r="J32" s="440"/>
      <c r="K32" s="405"/>
      <c r="L32" s="405"/>
      <c r="M32" s="405"/>
      <c r="N32" s="334">
        <f t="shared" si="15"/>
        <v>0</v>
      </c>
      <c r="O32" s="334">
        <f t="shared" si="16"/>
        <v>0</v>
      </c>
      <c r="P32" s="334">
        <f>IF(Stamoplysninger!$H$29="JA",Juni!DG32,CX32)</f>
        <v>0</v>
      </c>
      <c r="Q32" s="334">
        <f t="shared" si="17"/>
        <v>0</v>
      </c>
      <c r="R32" s="335"/>
      <c r="S32" s="341"/>
      <c r="T32" s="342"/>
      <c r="U32" s="342"/>
      <c r="V32" s="462"/>
      <c r="W32" s="336"/>
      <c r="X32" s="469"/>
      <c r="Y32">
        <f t="shared" si="18"/>
        <v>0</v>
      </c>
      <c r="Z32" s="467">
        <f t="shared" si="19"/>
        <v>0</v>
      </c>
      <c r="AA32" s="1">
        <f t="shared" si="2"/>
        <v>0</v>
      </c>
      <c r="AB32" s="1">
        <f t="shared" si="3"/>
        <v>0</v>
      </c>
      <c r="AC32" s="1">
        <f t="shared" si="4"/>
        <v>0</v>
      </c>
      <c r="AD32" s="1">
        <f t="shared" si="5"/>
        <v>0</v>
      </c>
      <c r="AE32" s="1">
        <f t="shared" si="6"/>
        <v>0</v>
      </c>
      <c r="AF32" s="1">
        <f>IF(C32="Orlov",7.4*Stamoplysninger!$E$15,0)</f>
        <v>0</v>
      </c>
      <c r="AG32">
        <f>IF(AND(C32="Skema 1",B32="ma"),Arbejdstidsoversigt!$E$44,"")</f>
        <v>0</v>
      </c>
      <c r="AH32" t="str">
        <f>IF(AND(C32="Skema 1",B32="ti"),Arbejdstidsoversigt!$E$45,"")</f>
        <v/>
      </c>
      <c r="AI32" t="str">
        <f>IF(AND(C32="Skema 1",B32="on"),Arbejdstidsoversigt!$E$46,"")</f>
        <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7"/>
        <v>0</v>
      </c>
      <c r="BC32" s="1">
        <f t="shared" si="21"/>
        <v>0</v>
      </c>
      <c r="BD32" s="1">
        <f t="shared" si="8"/>
        <v>0</v>
      </c>
      <c r="BE32" s="1">
        <f t="shared" si="9"/>
        <v>0</v>
      </c>
      <c r="BF32" s="1">
        <f t="shared" si="10"/>
        <v>0</v>
      </c>
      <c r="BG32" s="214">
        <f>IF(AND(C32="Skema 1",B32="ma"),Skemaoplysninger!$E$30,"")</f>
        <v>0</v>
      </c>
      <c r="BH32" s="214" t="str">
        <f>IF(AND(C32="Skema 1",B32="ti"),Skemaoplysninger!$F$30,"")</f>
        <v/>
      </c>
      <c r="BI32" s="214" t="str">
        <f>IF(AND(C32="Skema 1",B32="on"),Skemaoplysninger!$G$30,"")</f>
        <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1"/>
        <v>0</v>
      </c>
      <c r="CC32" s="1">
        <f t="shared" si="12"/>
        <v>0</v>
      </c>
      <c r="CD32" s="214">
        <f>IF(AND(C32="Skema 1",B32="ma"),Skemaoplysninger!$E$39,"")</f>
        <v>0</v>
      </c>
      <c r="CE32" s="214" t="str">
        <f>IF(AND(C32="Skema 1",B32="ti"),Skemaoplysninger!$F$39,"")</f>
        <v/>
      </c>
      <c r="CF32" s="214" t="str">
        <f>IF(AND(C32="Skema 1",B32="on"),Skemaoplysninger!$G$39,"")</f>
        <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f t="shared" si="25"/>
        <v>0</v>
      </c>
      <c r="DJ32">
        <f t="shared" si="26"/>
        <v>0</v>
      </c>
      <c r="DK32" t="str">
        <f t="shared" si="13"/>
        <v/>
      </c>
      <c r="DL32" t="str">
        <f t="shared" si="13"/>
        <v/>
      </c>
      <c r="DM32" t="str">
        <f t="shared" si="13"/>
        <v/>
      </c>
      <c r="DN32" t="str">
        <f t="shared" si="27"/>
        <v/>
      </c>
    </row>
    <row r="33" spans="1:118">
      <c r="A33" s="249">
        <f t="shared" si="14"/>
        <v>25</v>
      </c>
      <c r="B33" s="132" t="str">
        <f t="shared" si="0"/>
        <v>ti</v>
      </c>
      <c r="C33" s="133" t="s">
        <v>209</v>
      </c>
      <c r="D33" s="134" t="str">
        <f t="shared" si="1"/>
        <v/>
      </c>
      <c r="E33" s="871"/>
      <c r="F33" s="872"/>
      <c r="G33" s="873"/>
      <c r="H33" s="313"/>
      <c r="I33" s="582"/>
      <c r="J33" s="440"/>
      <c r="K33" s="405"/>
      <c r="L33" s="405"/>
      <c r="M33" s="405"/>
      <c r="N33" s="334">
        <f t="shared" si="15"/>
        <v>0</v>
      </c>
      <c r="O33" s="334">
        <f t="shared" si="16"/>
        <v>0</v>
      </c>
      <c r="P33" s="334">
        <f>IF(Stamoplysninger!$H$29="JA",Juni!DG33,CX33)</f>
        <v>0</v>
      </c>
      <c r="Q33" s="334">
        <f t="shared" si="17"/>
        <v>0</v>
      </c>
      <c r="R33" s="335"/>
      <c r="S33" s="341"/>
      <c r="T33" s="342"/>
      <c r="U33" s="342"/>
      <c r="V33" s="462"/>
      <c r="W33" s="336"/>
      <c r="X33" s="469"/>
      <c r="Y33">
        <f t="shared" si="18"/>
        <v>0</v>
      </c>
      <c r="Z33" s="467">
        <f t="shared" si="19"/>
        <v>0</v>
      </c>
      <c r="AA33" s="1">
        <f t="shared" si="2"/>
        <v>0</v>
      </c>
      <c r="AB33" s="1">
        <f t="shared" si="3"/>
        <v>0</v>
      </c>
      <c r="AC33" s="1">
        <f t="shared" si="4"/>
        <v>0</v>
      </c>
      <c r="AD33" s="1">
        <f t="shared" si="5"/>
        <v>0</v>
      </c>
      <c r="AE33" s="1">
        <f t="shared" si="6"/>
        <v>0</v>
      </c>
      <c r="AF33" s="1">
        <f>IF(C33="Orlov",7.4*Stamoplysninger!$E$15,0)</f>
        <v>0</v>
      </c>
      <c r="AG33" t="str">
        <f>IF(AND(C33="Skema 1",B33="ma"),Arbejdstidsoversigt!$E$44,"")</f>
        <v/>
      </c>
      <c r="AH33">
        <f>IF(AND(C33="Skema 1",B33="ti"),Arbejdstidsoversigt!$E$45,"")</f>
        <v>0</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7"/>
        <v>0</v>
      </c>
      <c r="BC33" s="1">
        <f t="shared" si="21"/>
        <v>0</v>
      </c>
      <c r="BD33" s="1">
        <f t="shared" si="8"/>
        <v>0</v>
      </c>
      <c r="BE33" s="1">
        <f t="shared" si="9"/>
        <v>0</v>
      </c>
      <c r="BF33" s="1">
        <f t="shared" si="10"/>
        <v>0</v>
      </c>
      <c r="BG33" s="214" t="str">
        <f>IF(AND(C33="Skema 1",B33="ma"),Skemaoplysninger!$E$30,"")</f>
        <v/>
      </c>
      <c r="BH33" s="214">
        <f>IF(AND(C33="Skema 1",B33="ti"),Skemaoplysninger!$F$30,"")</f>
        <v>0</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1"/>
        <v>0</v>
      </c>
      <c r="CC33" s="1">
        <f t="shared" si="12"/>
        <v>0</v>
      </c>
      <c r="CD33" s="214" t="str">
        <f>IF(AND(C33="Skema 1",B33="ma"),Skemaoplysninger!$E$39,"")</f>
        <v/>
      </c>
      <c r="CE33" s="214">
        <f>IF(AND(C33="Skema 1",B33="ti"),Skemaoplysninger!$F$39,"")</f>
        <v>0</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3"/>
        <v/>
      </c>
      <c r="DL33" t="str">
        <f t="shared" si="13"/>
        <v/>
      </c>
      <c r="DM33" t="str">
        <f t="shared" si="13"/>
        <v/>
      </c>
      <c r="DN33" t="str">
        <f t="shared" si="27"/>
        <v/>
      </c>
    </row>
    <row r="34" spans="1:118">
      <c r="A34" s="249">
        <f t="shared" si="14"/>
        <v>26</v>
      </c>
      <c r="B34" s="132" t="str">
        <f t="shared" si="0"/>
        <v>on</v>
      </c>
      <c r="C34" s="133" t="s">
        <v>209</v>
      </c>
      <c r="D34" s="134" t="str">
        <f t="shared" si="1"/>
        <v/>
      </c>
      <c r="E34" s="871"/>
      <c r="F34" s="872"/>
      <c r="G34" s="873"/>
      <c r="H34" s="313"/>
      <c r="I34" s="582"/>
      <c r="J34" s="440"/>
      <c r="K34" s="405"/>
      <c r="L34" s="405"/>
      <c r="M34" s="405"/>
      <c r="N34" s="334">
        <f t="shared" si="15"/>
        <v>0</v>
      </c>
      <c r="O34" s="334">
        <f t="shared" si="16"/>
        <v>0</v>
      </c>
      <c r="P34" s="334">
        <f>IF(Stamoplysninger!$H$29="JA",Juni!DG34,CX34)</f>
        <v>0</v>
      </c>
      <c r="Q34" s="334">
        <f t="shared" si="17"/>
        <v>0</v>
      </c>
      <c r="R34" s="335"/>
      <c r="S34" s="341"/>
      <c r="T34" s="342"/>
      <c r="U34" s="342"/>
      <c r="V34" s="462"/>
      <c r="W34" s="336"/>
      <c r="X34" s="469"/>
      <c r="Y34">
        <f t="shared" si="18"/>
        <v>0</v>
      </c>
      <c r="Z34" s="467">
        <f t="shared" si="19"/>
        <v>0</v>
      </c>
      <c r="AA34" s="1">
        <f t="shared" si="2"/>
        <v>0</v>
      </c>
      <c r="AB34" s="1">
        <f t="shared" si="3"/>
        <v>0</v>
      </c>
      <c r="AC34" s="1">
        <f t="shared" si="4"/>
        <v>0</v>
      </c>
      <c r="AD34" s="1">
        <f t="shared" si="5"/>
        <v>0</v>
      </c>
      <c r="AE34" s="1">
        <f t="shared" si="6"/>
        <v>0</v>
      </c>
      <c r="AF34" s="1">
        <f>IF(C34="Orlov",7.4*Stamoplysninger!$E$15,0)</f>
        <v>0</v>
      </c>
      <c r="AG34" t="str">
        <f>IF(AND(C34="Skema 1",B34="ma"),Arbejdstidsoversigt!$E$44,"")</f>
        <v/>
      </c>
      <c r="AH34" t="str">
        <f>IF(AND(C34="Skema 1",B34="ti"),Arbejdstidsoversigt!$E$45,"")</f>
        <v/>
      </c>
      <c r="AI34">
        <f>IF(AND(C34="Skema 1",B34="on"),Arbejdstidsoversigt!$E$46,"")</f>
        <v>0</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7"/>
        <v>0</v>
      </c>
      <c r="BC34" s="1">
        <f t="shared" si="21"/>
        <v>0</v>
      </c>
      <c r="BD34" s="1">
        <f t="shared" si="8"/>
        <v>0</v>
      </c>
      <c r="BE34" s="1">
        <f t="shared" si="9"/>
        <v>0</v>
      </c>
      <c r="BF34" s="1">
        <f t="shared" si="10"/>
        <v>0</v>
      </c>
      <c r="BG34" s="214" t="str">
        <f>IF(AND(C34="Skema 1",B34="ma"),Skemaoplysninger!$E$30,"")</f>
        <v/>
      </c>
      <c r="BH34" s="214" t="str">
        <f>IF(AND(C34="Skema 1",B34="ti"),Skemaoplysninger!$F$30,"")</f>
        <v/>
      </c>
      <c r="BI34" s="214">
        <f>IF(AND(C34="Skema 1",B34="on"),Skemaoplysninger!$G$30,"")</f>
        <v>0</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1"/>
        <v>0</v>
      </c>
      <c r="CC34" s="1">
        <f t="shared" si="12"/>
        <v>0</v>
      </c>
      <c r="CD34" s="214" t="str">
        <f>IF(AND(C34="Skema 1",B34="ma"),Skemaoplysninger!$E$39,"")</f>
        <v/>
      </c>
      <c r="CE34" s="214" t="str">
        <f>IF(AND(C34="Skema 1",B34="ti"),Skemaoplysninger!$F$39,"")</f>
        <v/>
      </c>
      <c r="CF34" s="214">
        <f>IF(AND(C34="Skema 1",B34="on"),Skemaoplysninger!$G$39,"")</f>
        <v>0</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3"/>
        <v/>
      </c>
      <c r="DL34" t="str">
        <f t="shared" si="13"/>
        <v/>
      </c>
      <c r="DM34" t="str">
        <f t="shared" si="13"/>
        <v/>
      </c>
      <c r="DN34" t="str">
        <f t="shared" si="27"/>
        <v/>
      </c>
    </row>
    <row r="35" spans="1:118">
      <c r="A35" s="249">
        <f t="shared" si="14"/>
        <v>27</v>
      </c>
      <c r="B35" s="132" t="str">
        <f t="shared" si="0"/>
        <v>to</v>
      </c>
      <c r="C35" s="133" t="s">
        <v>209</v>
      </c>
      <c r="D35" s="134" t="str">
        <f t="shared" si="1"/>
        <v/>
      </c>
      <c r="E35" s="871"/>
      <c r="F35" s="872"/>
      <c r="G35" s="873"/>
      <c r="H35" s="313"/>
      <c r="I35" s="582"/>
      <c r="J35" s="440"/>
      <c r="K35" s="405"/>
      <c r="L35" s="405"/>
      <c r="M35" s="405"/>
      <c r="N35" s="334">
        <f t="shared" si="15"/>
        <v>0</v>
      </c>
      <c r="O35" s="334">
        <f t="shared" si="16"/>
        <v>0</v>
      </c>
      <c r="P35" s="334">
        <f>IF(Stamoplysninger!$H$29="JA",Juni!DG35,CX35)</f>
        <v>0</v>
      </c>
      <c r="Q35" s="334">
        <f t="shared" si="17"/>
        <v>0</v>
      </c>
      <c r="R35" s="335"/>
      <c r="S35" s="341"/>
      <c r="T35" s="342"/>
      <c r="U35" s="342"/>
      <c r="V35" s="462"/>
      <c r="W35" s="336"/>
      <c r="X35" s="469"/>
      <c r="Y35">
        <f t="shared" si="18"/>
        <v>0</v>
      </c>
      <c r="Z35" s="467">
        <f t="shared" si="19"/>
        <v>0</v>
      </c>
      <c r="AA35" s="1">
        <f t="shared" si="2"/>
        <v>0</v>
      </c>
      <c r="AB35" s="1">
        <f t="shared" si="3"/>
        <v>0</v>
      </c>
      <c r="AC35" s="1">
        <f t="shared" si="4"/>
        <v>0</v>
      </c>
      <c r="AD35" s="1">
        <f t="shared" si="5"/>
        <v>0</v>
      </c>
      <c r="AE35" s="1">
        <f t="shared" si="6"/>
        <v>0</v>
      </c>
      <c r="AF35" s="1">
        <f>IF(C35="Orlov",7.4*Stamoplysninger!$E$15,0)</f>
        <v>0</v>
      </c>
      <c r="AG35" t="str">
        <f>IF(AND(C35="Skema 1",B35="ma"),Arbejdstidsoversigt!$E$44,"")</f>
        <v/>
      </c>
      <c r="AH35" t="str">
        <f>IF(AND(C35="Skema 1",B35="ti"),Arbejdstidsoversigt!$E$45,"")</f>
        <v/>
      </c>
      <c r="AI35" t="str">
        <f>IF(AND(C35="Skema 1",B35="on"),Arbejdstidsoversigt!$E$46,"")</f>
        <v/>
      </c>
      <c r="AJ35">
        <f>IF(AND(C35="Skema 1",B35="to"),Arbejdstidsoversigt!$E$47,"")</f>
        <v>0</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0</v>
      </c>
      <c r="BB35" s="233">
        <f t="shared" si="7"/>
        <v>0</v>
      </c>
      <c r="BC35" s="1">
        <f t="shared" si="21"/>
        <v>0</v>
      </c>
      <c r="BD35" s="1">
        <f t="shared" si="8"/>
        <v>0</v>
      </c>
      <c r="BE35" s="1">
        <f t="shared" si="9"/>
        <v>0</v>
      </c>
      <c r="BF35" s="1">
        <f t="shared" si="10"/>
        <v>0</v>
      </c>
      <c r="BG35" s="214" t="str">
        <f>IF(AND(C35="Skema 1",B35="ma"),Skemaoplysninger!$E$30,"")</f>
        <v/>
      </c>
      <c r="BH35" s="214" t="str">
        <f>IF(AND(C35="Skema 1",B35="ti"),Skemaoplysninger!$F$30,"")</f>
        <v/>
      </c>
      <c r="BI35" s="214" t="str">
        <f>IF(AND(C35="Skema 1",B35="on"),Skemaoplysninger!$G$30,"")</f>
        <v/>
      </c>
      <c r="BJ35" s="214">
        <f>IF(AND(C35="Skema 1",B35="to"),Skemaoplysninger!$H$30,"")</f>
        <v>0</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1"/>
        <v>0</v>
      </c>
      <c r="CC35" s="1">
        <f t="shared" si="12"/>
        <v>0</v>
      </c>
      <c r="CD35" s="214" t="str">
        <f>IF(AND(C35="Skema 1",B35="ma"),Skemaoplysninger!$E$39,"")</f>
        <v/>
      </c>
      <c r="CE35" s="214" t="str">
        <f>IF(AND(C35="Skema 1",B35="ti"),Skemaoplysninger!$F$39,"")</f>
        <v/>
      </c>
      <c r="CF35" s="214" t="str">
        <f>IF(AND(C35="Skema 1",B35="on"),Skemaoplysninger!$G$39,"")</f>
        <v/>
      </c>
      <c r="CG35" s="214">
        <f>IF(AND(C35="Skema 1",B35="to"),Skemaoplysninger!$H$39,"")</f>
        <v>0</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3"/>
        <v/>
      </c>
      <c r="DL35" t="str">
        <f t="shared" si="13"/>
        <v/>
      </c>
      <c r="DM35" t="str">
        <f t="shared" si="13"/>
        <v/>
      </c>
      <c r="DN35" t="str">
        <f t="shared" si="27"/>
        <v/>
      </c>
    </row>
    <row r="36" spans="1:118">
      <c r="A36" s="249">
        <f t="shared" si="14"/>
        <v>28</v>
      </c>
      <c r="B36" s="132" t="str">
        <f t="shared" si="0"/>
        <v>fr</v>
      </c>
      <c r="C36" s="133" t="s">
        <v>209</v>
      </c>
      <c r="D36" s="134" t="str">
        <f t="shared" si="1"/>
        <v/>
      </c>
      <c r="E36" s="871"/>
      <c r="F36" s="872"/>
      <c r="G36" s="873"/>
      <c r="H36" s="313"/>
      <c r="I36" s="582"/>
      <c r="J36" s="440"/>
      <c r="K36" s="405"/>
      <c r="L36" s="405"/>
      <c r="M36" s="405"/>
      <c r="N36" s="334">
        <f t="shared" si="15"/>
        <v>0</v>
      </c>
      <c r="O36" s="334">
        <f t="shared" si="16"/>
        <v>0</v>
      </c>
      <c r="P36" s="334">
        <f>IF(Stamoplysninger!$H$29="JA",Juni!DG36,CX36)</f>
        <v>0</v>
      </c>
      <c r="Q36" s="334">
        <f t="shared" si="17"/>
        <v>0</v>
      </c>
      <c r="R36" s="335"/>
      <c r="S36" s="341"/>
      <c r="T36" s="342"/>
      <c r="U36" s="342"/>
      <c r="V36" s="462"/>
      <c r="W36" s="336"/>
      <c r="X36" s="469"/>
      <c r="Y36">
        <f t="shared" si="18"/>
        <v>0</v>
      </c>
      <c r="Z36" s="467">
        <f t="shared" si="19"/>
        <v>0</v>
      </c>
      <c r="AA36" s="1">
        <f t="shared" si="2"/>
        <v>0</v>
      </c>
      <c r="AB36" s="1">
        <f t="shared" si="3"/>
        <v>0</v>
      </c>
      <c r="AC36" s="1">
        <f t="shared" si="4"/>
        <v>0</v>
      </c>
      <c r="AD36" s="1">
        <f t="shared" si="5"/>
        <v>0</v>
      </c>
      <c r="AE36" s="1">
        <f t="shared" si="6"/>
        <v>0</v>
      </c>
      <c r="AF36" s="1">
        <f>IF(C36="Orlov",7.4*Stamoplysninger!$E$15,0)</f>
        <v>0</v>
      </c>
      <c r="AG36" t="str">
        <f>IF(AND(C36="Skema 1",B36="ma"),Arbejdstidsoversigt!$E$44,"")</f>
        <v/>
      </c>
      <c r="AH36" t="str">
        <f>IF(AND(C36="Skema 1",B36="ti"),Arbejdstidsoversigt!$E$45,"")</f>
        <v/>
      </c>
      <c r="AI36" t="str">
        <f>IF(AND(C36="Skema 1",B36="on"),Arbejdstidsoversigt!$E$46,"")</f>
        <v/>
      </c>
      <c r="AJ36" t="str">
        <f>IF(AND(C36="Skema 1",B36="to"),Arbejdstidsoversigt!$E$47,"")</f>
        <v/>
      </c>
      <c r="AK36">
        <f>IF(AND(C36="Skema 1",B36="fr"),Arbejdstidsoversigt!$E$48,"")</f>
        <v>0</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7"/>
        <v>0</v>
      </c>
      <c r="BC36" s="1">
        <f t="shared" si="21"/>
        <v>0</v>
      </c>
      <c r="BD36" s="1">
        <f t="shared" si="8"/>
        <v>0</v>
      </c>
      <c r="BE36" s="1">
        <f t="shared" si="9"/>
        <v>0</v>
      </c>
      <c r="BF36" s="1">
        <f t="shared" si="10"/>
        <v>0</v>
      </c>
      <c r="BG36" s="214" t="str">
        <f>IF(AND(C36="Skema 1",B36="ma"),Skemaoplysninger!$E$30,"")</f>
        <v/>
      </c>
      <c r="BH36" s="214" t="str">
        <f>IF(AND(C36="Skema 1",B36="ti"),Skemaoplysninger!$F$30,"")</f>
        <v/>
      </c>
      <c r="BI36" s="214" t="str">
        <f>IF(AND(C36="Skema 1",B36="on"),Skemaoplysninger!$G$30,"")</f>
        <v/>
      </c>
      <c r="BJ36" s="214" t="str">
        <f>IF(AND(C36="Skema 1",B36="to"),Skemaoplysninger!$H$30,"")</f>
        <v/>
      </c>
      <c r="BK36" s="214">
        <f>IF(AND(C36="Skema 1",B36="fr"),Skemaoplysninger!$I$30,"")</f>
        <v>0</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1"/>
        <v>0</v>
      </c>
      <c r="CC36" s="1">
        <f t="shared" si="12"/>
        <v>0</v>
      </c>
      <c r="CD36" s="214" t="str">
        <f>IF(AND(C36="Skema 1",B36="ma"),Skemaoplysninger!$E$39,"")</f>
        <v/>
      </c>
      <c r="CE36" s="214" t="str">
        <f>IF(AND(C36="Skema 1",B36="ti"),Skemaoplysninger!$F$39,"")</f>
        <v/>
      </c>
      <c r="CF36" s="214" t="str">
        <f>IF(AND(C36="Skema 1",B36="on"),Skemaoplysninger!$G$39,"")</f>
        <v/>
      </c>
      <c r="CG36" s="214" t="str">
        <f>IF(AND(C36="Skema 1",B36="to"),Skemaoplysninger!$H$39,"")</f>
        <v/>
      </c>
      <c r="CH36" s="214">
        <f>IF(AND(C36="Skema 1",B36="fr"),Skemaoplysninger!$I$39,"")</f>
        <v>0</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3"/>
        <v/>
      </c>
      <c r="DL36" t="str">
        <f t="shared" si="13"/>
        <v/>
      </c>
      <c r="DM36" t="str">
        <f t="shared" si="13"/>
        <v/>
      </c>
      <c r="DN36" t="str">
        <f t="shared" si="27"/>
        <v/>
      </c>
    </row>
    <row r="37" spans="1:118">
      <c r="A37" s="249">
        <f>IF(ISNUMBER(A36),A36+1,1)</f>
        <v>29</v>
      </c>
      <c r="B37" s="132" t="str">
        <f t="shared" si="0"/>
        <v>lø</v>
      </c>
      <c r="C37" s="133" t="s">
        <v>121</v>
      </c>
      <c r="D37" s="134" t="str">
        <f t="shared" si="1"/>
        <v/>
      </c>
      <c r="E37" s="871"/>
      <c r="F37" s="872"/>
      <c r="G37" s="873"/>
      <c r="H37" s="313"/>
      <c r="I37" s="440"/>
      <c r="J37" s="440"/>
      <c r="K37" s="405"/>
      <c r="L37" s="405"/>
      <c r="M37" s="405"/>
      <c r="N37" s="334">
        <f t="shared" si="15"/>
        <v>0</v>
      </c>
      <c r="O37" s="334">
        <f t="shared" si="16"/>
        <v>0</v>
      </c>
      <c r="P37" s="334">
        <f>IF(Stamoplysninger!$H$29="JA",Juni!DG37,CX37)</f>
        <v>0</v>
      </c>
      <c r="Q37" s="334">
        <f t="shared" si="17"/>
        <v>0</v>
      </c>
      <c r="R37" s="335"/>
      <c r="S37" s="341"/>
      <c r="T37" s="342"/>
      <c r="U37" s="342"/>
      <c r="V37" s="462"/>
      <c r="W37" s="336"/>
      <c r="X37" s="469"/>
      <c r="Y37">
        <f t="shared" si="18"/>
        <v>0</v>
      </c>
      <c r="Z37" s="467">
        <f t="shared" si="19"/>
        <v>0</v>
      </c>
      <c r="AA37" s="1">
        <f t="shared" si="2"/>
        <v>0</v>
      </c>
      <c r="AB37" s="1">
        <f t="shared" si="3"/>
        <v>0</v>
      </c>
      <c r="AC37" s="1">
        <f t="shared" si="4"/>
        <v>0</v>
      </c>
      <c r="AD37" s="1">
        <f t="shared" si="5"/>
        <v>0</v>
      </c>
      <c r="AE37" s="1">
        <f t="shared" si="6"/>
        <v>0</v>
      </c>
      <c r="AF37" s="1">
        <f>IF(C37="Orlov",7.4*Stamoplysninger!$E$15,0)</f>
        <v>0</v>
      </c>
      <c r="AG37" t="str">
        <f>IF(AND(C37="Skema 1",B37="ma"),Arbejdstidsoversigt!$E$44,"")</f>
        <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0</v>
      </c>
      <c r="BB37" s="233">
        <f t="shared" si="7"/>
        <v>0</v>
      </c>
      <c r="BC37" s="1">
        <f t="shared" si="21"/>
        <v>0</v>
      </c>
      <c r="BD37" s="1">
        <f t="shared" si="8"/>
        <v>0</v>
      </c>
      <c r="BE37" s="1">
        <f t="shared" si="9"/>
        <v>0</v>
      </c>
      <c r="BF37" s="1">
        <f t="shared" si="10"/>
        <v>0</v>
      </c>
      <c r="BG37" s="214" t="str">
        <f>IF(AND(C37="Skema 1",B37="ma"),Skemaoplysninger!$E$30,"")</f>
        <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1"/>
        <v>0</v>
      </c>
      <c r="CC37" s="1">
        <f t="shared" si="12"/>
        <v>0</v>
      </c>
      <c r="CD37" s="214" t="str">
        <f>IF(AND(C37="Skema 1",B37="ma"),Skemaoplysninger!$E$39,"")</f>
        <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3"/>
        <v/>
      </c>
      <c r="DL37" t="str">
        <f t="shared" si="13"/>
        <v/>
      </c>
      <c r="DM37" t="str">
        <f t="shared" si="13"/>
        <v/>
      </c>
      <c r="DN37" t="str">
        <f t="shared" si="27"/>
        <v/>
      </c>
    </row>
    <row r="38" spans="1:118">
      <c r="A38" s="249">
        <f t="shared" si="14"/>
        <v>30</v>
      </c>
      <c r="B38" s="132" t="str">
        <f t="shared" si="0"/>
        <v>sø</v>
      </c>
      <c r="C38" s="133" t="s">
        <v>121</v>
      </c>
      <c r="D38" s="134" t="str">
        <f t="shared" si="1"/>
        <v/>
      </c>
      <c r="E38" s="871"/>
      <c r="F38" s="872"/>
      <c r="G38" s="873"/>
      <c r="H38" s="313"/>
      <c r="I38" s="440"/>
      <c r="J38" s="440"/>
      <c r="K38" s="405"/>
      <c r="L38" s="405"/>
      <c r="M38" s="405"/>
      <c r="N38" s="334">
        <f t="shared" si="15"/>
        <v>0</v>
      </c>
      <c r="O38" s="334">
        <f t="shared" si="16"/>
        <v>0</v>
      </c>
      <c r="P38" s="334">
        <f>IF(Stamoplysninger!$H$29="JA",Juni!DG38,CX38)</f>
        <v>0</v>
      </c>
      <c r="Q38" s="334">
        <f t="shared" si="17"/>
        <v>0</v>
      </c>
      <c r="R38" s="335"/>
      <c r="S38" s="341"/>
      <c r="T38" s="342"/>
      <c r="U38" s="342"/>
      <c r="V38" s="462"/>
      <c r="W38" s="336"/>
      <c r="X38" s="469"/>
      <c r="Y38">
        <f t="shared" si="18"/>
        <v>0</v>
      </c>
      <c r="Z38" s="467">
        <f t="shared" si="19"/>
        <v>0</v>
      </c>
      <c r="AA38" s="1">
        <f t="shared" si="2"/>
        <v>0</v>
      </c>
      <c r="AB38" s="1">
        <f t="shared" si="3"/>
        <v>0</v>
      </c>
      <c r="AC38" s="1">
        <f t="shared" si="4"/>
        <v>0</v>
      </c>
      <c r="AD38" s="1">
        <f t="shared" si="5"/>
        <v>0</v>
      </c>
      <c r="AE38" s="1">
        <f t="shared" si="6"/>
        <v>0</v>
      </c>
      <c r="AF38" s="1">
        <f>IF(C38="Orlov",7.4*Stamoplysninger!$E$15,0)</f>
        <v>0</v>
      </c>
      <c r="AG38" t="str">
        <f>IF(AND(C38="Skema 1",B38="ma"),Arbejdstidsoversigt!$E$44,"")</f>
        <v/>
      </c>
      <c r="AH38" t="str">
        <f>IF(AND(C38="Skema 1",B38="ti"),Arbejdstidsoversigt!$E$45,"")</f>
        <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0</v>
      </c>
      <c r="BB38" s="233">
        <f t="shared" si="7"/>
        <v>0</v>
      </c>
      <c r="BC38" s="1">
        <f t="shared" si="21"/>
        <v>0</v>
      </c>
      <c r="BD38" s="1">
        <f t="shared" si="8"/>
        <v>0</v>
      </c>
      <c r="BE38" s="1">
        <f t="shared" si="9"/>
        <v>0</v>
      </c>
      <c r="BF38" s="1">
        <f t="shared" si="10"/>
        <v>0</v>
      </c>
      <c r="BG38" s="214" t="str">
        <f>IF(AND(C38="Skema 1",B38="ma"),Skemaoplysninger!$E$30,"")</f>
        <v/>
      </c>
      <c r="BH38" s="214" t="str">
        <f>IF(AND(C38="Skema 1",B38="ti"),Skemaoplysninger!$F$30,"")</f>
        <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3",B38="ti"),Arbejdstidsoversigt!#REF!,"")</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1"/>
        <v>0</v>
      </c>
      <c r="CC38" s="1">
        <f t="shared" si="12"/>
        <v>0</v>
      </c>
      <c r="CD38" s="214" t="str">
        <f>IF(AND(C38="Skema 1",B38="ma"),Skemaoplysninger!$E$39,"")</f>
        <v/>
      </c>
      <c r="CE38" s="214" t="str">
        <f>IF(AND(C38="Skema 1",B38="ti"),Skemaoplysninger!$F$39,"")</f>
        <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3"/>
        <v/>
      </c>
      <c r="DL38" t="str">
        <f t="shared" si="13"/>
        <v/>
      </c>
      <c r="DM38" t="str">
        <f t="shared" si="13"/>
        <v/>
      </c>
      <c r="DN38" t="str">
        <f t="shared" si="27"/>
        <v/>
      </c>
    </row>
    <row r="39" spans="1:118" ht="17" thickBot="1">
      <c r="A39" s="889" t="s">
        <v>263</v>
      </c>
      <c r="B39" s="890"/>
      <c r="C39" s="890"/>
      <c r="D39" s="890"/>
      <c r="E39" s="890"/>
      <c r="F39" s="890"/>
      <c r="G39" s="890"/>
      <c r="H39" s="890"/>
      <c r="I39" s="891"/>
      <c r="J39" s="329"/>
      <c r="K39" s="338"/>
      <c r="L39" s="338"/>
      <c r="M39" s="338"/>
      <c r="N39" s="339">
        <f t="shared" ref="N39:Q39" si="28">SUM(N9:N38)</f>
        <v>0</v>
      </c>
      <c r="O39" s="339">
        <f t="shared" si="28"/>
        <v>0</v>
      </c>
      <c r="P39" s="339">
        <f t="shared" si="28"/>
        <v>0</v>
      </c>
      <c r="Q39" s="339">
        <f t="shared" si="28"/>
        <v>0</v>
      </c>
      <c r="R39" s="340">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0</v>
      </c>
      <c r="S39" s="459"/>
      <c r="T39" s="460"/>
      <c r="U39" s="460"/>
      <c r="V39" s="460">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60">
        <f t="shared" ref="W39" si="29">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61">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5">
        <f>SUM(Y9:Y38)</f>
        <v>0</v>
      </c>
      <c r="Z39" s="425">
        <f>Z9+Z10+Z11+Z12+Z13+Z14+Z15+Z16+Z17+Z18+Z19+Z20+Z21+Z22+Z23+Z24+Z25+Z26+Z27+Z28+Z29+Z30+Z31+Z32+Z33+Z34+Z35+Z36+Z37+Z38</f>
        <v>0</v>
      </c>
      <c r="AA39" s="239">
        <f t="shared" ref="AA39:AF39" si="30">SUM(AA9:AA38)</f>
        <v>0</v>
      </c>
      <c r="AB39" s="239">
        <f t="shared" si="30"/>
        <v>0</v>
      </c>
      <c r="AC39" s="239">
        <f t="shared" si="30"/>
        <v>0</v>
      </c>
      <c r="AD39" s="239">
        <f t="shared" si="30"/>
        <v>0</v>
      </c>
      <c r="AE39" s="239">
        <f t="shared" si="30"/>
        <v>0</v>
      </c>
      <c r="AF39" s="239">
        <f t="shared" si="30"/>
        <v>0</v>
      </c>
      <c r="BA39" s="1">
        <f>SUM(BA9:BA38)</f>
        <v>0</v>
      </c>
      <c r="BB39" s="116"/>
      <c r="BC39" s="239">
        <f>SUM(BC9:BC38)</f>
        <v>0</v>
      </c>
      <c r="BD39" s="239">
        <f>SUM(BD9:BD38)</f>
        <v>0</v>
      </c>
      <c r="BE39" s="239">
        <f>SUM(BE9:BE38)</f>
        <v>0</v>
      </c>
      <c r="BF39" s="239">
        <f>SUM(BF9:BF38)</f>
        <v>0</v>
      </c>
      <c r="CA39" s="239">
        <f>SUM(CA9:CA38)</f>
        <v>0</v>
      </c>
      <c r="CB39" s="239">
        <f>SUM(CB9:CB38)</f>
        <v>0</v>
      </c>
      <c r="CC39" s="239">
        <f>SUM(CC9:CC38)</f>
        <v>0</v>
      </c>
      <c r="CX39" s="254"/>
      <c r="CY39" s="254">
        <f t="shared" ref="CY39:DG39" si="31">SUM(CY9:CY38)</f>
        <v>0</v>
      </c>
      <c r="CZ39" s="254">
        <f t="shared" si="31"/>
        <v>0</v>
      </c>
      <c r="DA39" s="254">
        <f t="shared" si="31"/>
        <v>0</v>
      </c>
      <c r="DB39" s="254">
        <f t="shared" si="31"/>
        <v>0</v>
      </c>
      <c r="DC39" s="254">
        <f t="shared" si="31"/>
        <v>0</v>
      </c>
      <c r="DD39" s="254">
        <f t="shared" si="31"/>
        <v>0</v>
      </c>
      <c r="DE39" s="254">
        <f t="shared" si="31"/>
        <v>0</v>
      </c>
      <c r="DF39" s="254">
        <f t="shared" si="31"/>
        <v>0</v>
      </c>
      <c r="DG39" s="254">
        <f t="shared" si="31"/>
        <v>0</v>
      </c>
    </row>
    <row r="40" spans="1:118" ht="17" thickBot="1">
      <c r="A40" s="236"/>
      <c r="B40" s="236"/>
      <c r="C40" s="236"/>
      <c r="D40" s="236"/>
      <c r="E40" s="236"/>
      <c r="F40" s="236"/>
      <c r="G40" s="236"/>
      <c r="H40" s="236"/>
      <c r="I40" s="236"/>
      <c r="J40" s="236"/>
      <c r="K40" s="243"/>
      <c r="L40" s="243"/>
      <c r="M40" s="243"/>
      <c r="N40" s="243"/>
      <c r="O40" s="243"/>
      <c r="P40" s="243"/>
      <c r="Q40" s="243"/>
      <c r="R40" s="243"/>
      <c r="S40" s="243"/>
      <c r="T40" s="243"/>
      <c r="U40" s="243"/>
      <c r="V40" s="243"/>
      <c r="W40" s="243"/>
      <c r="X40" s="243"/>
      <c r="Y40" s="252"/>
      <c r="Z40" s="215"/>
      <c r="AA40" s="239"/>
      <c r="AB40" s="215"/>
      <c r="AC40" s="215"/>
      <c r="AD40" s="239"/>
      <c r="AE40" s="239"/>
      <c r="AF40" s="239"/>
      <c r="AG40" s="239"/>
      <c r="BC40" s="239"/>
      <c r="BD40" s="239"/>
      <c r="BE40" s="239"/>
      <c r="BF40" s="239"/>
      <c r="BG40" s="116"/>
      <c r="CB40" s="239"/>
      <c r="CC40" s="239"/>
      <c r="CD40" s="116"/>
      <c r="CX40" s="253"/>
      <c r="CZ40"/>
    </row>
    <row r="41" spans="1:118" ht="70" customHeight="1">
      <c r="A41" s="875" t="str">
        <f>"Arbejdstid for "&amp;A7&amp;" måned:"</f>
        <v>Arbejdstid for Juni måned:</v>
      </c>
      <c r="B41" s="876"/>
      <c r="C41" s="876"/>
      <c r="D41" s="876"/>
      <c r="E41" s="876"/>
      <c r="F41" s="876"/>
      <c r="G41" s="876"/>
      <c r="H41" s="347" t="s">
        <v>258</v>
      </c>
      <c r="I41" s="876" t="s">
        <v>224</v>
      </c>
      <c r="J41" s="877"/>
      <c r="K41" s="878"/>
      <c r="L41" s="267"/>
      <c r="M41" s="843" t="str">
        <f>"Ulempetimer og weekendtimer i "&amp;A5&amp;""</f>
        <v>Ulempetimer og weekendtimer i Juni måneds kalender for: . Måneden vedr. normperioden:  - .</v>
      </c>
      <c r="N41" s="844"/>
      <c r="O41" s="844"/>
      <c r="P41" s="844"/>
      <c r="Q41" s="844"/>
      <c r="R41" s="844"/>
      <c r="S41" s="844"/>
      <c r="T41" s="844"/>
      <c r="U41" s="844"/>
      <c r="V41" s="844"/>
      <c r="W41" s="844"/>
      <c r="X41" s="845"/>
      <c r="Y41" s="243"/>
      <c r="Z41" s="243"/>
      <c r="AD41" s="94"/>
      <c r="AE41" s="94"/>
      <c r="BM41" s="1"/>
      <c r="CJ41" s="1"/>
      <c r="CU41" s="253"/>
      <c r="CV41" s="253"/>
      <c r="CY41"/>
      <c r="CZ41"/>
    </row>
    <row r="42" spans="1:118">
      <c r="A42" s="879" t="s">
        <v>601</v>
      </c>
      <c r="B42" s="880"/>
      <c r="C42" s="880"/>
      <c r="D42" s="880"/>
      <c r="E42" s="880"/>
      <c r="F42" s="880"/>
      <c r="G42" s="880"/>
      <c r="H42" s="261">
        <f>D77</f>
        <v>20</v>
      </c>
      <c r="I42" s="892">
        <f>IF(Stamoplysninger!$E$12="Ja",1924/Arbejdstidsoversigt!$K$9*Stamoplysninger!$E$15*H42,H42*7.4*Stamoplysninger!$E$15)</f>
        <v>0</v>
      </c>
      <c r="J42" s="893"/>
      <c r="K42" s="894"/>
      <c r="L42" s="263"/>
      <c r="M42" s="846" t="s">
        <v>550</v>
      </c>
      <c r="N42" s="847"/>
      <c r="O42" s="847"/>
      <c r="P42" s="847"/>
      <c r="Q42" s="847"/>
      <c r="R42" s="847"/>
      <c r="S42" s="847"/>
      <c r="T42" s="847"/>
      <c r="U42" s="848"/>
      <c r="V42" s="990">
        <f>M72+S71+T71+M75+M79+M73+N72+N79</f>
        <v>0</v>
      </c>
      <c r="W42" s="990"/>
      <c r="X42" s="991"/>
      <c r="Y42" s="243"/>
      <c r="Z42" s="243"/>
      <c r="AD42" s="94"/>
      <c r="AE42" s="94"/>
      <c r="BM42" s="1"/>
      <c r="CJ42" s="1"/>
      <c r="CU42" s="253"/>
      <c r="CV42" s="253"/>
      <c r="CY42"/>
      <c r="CZ42"/>
    </row>
    <row r="43" spans="1:118">
      <c r="A43" s="879" t="str">
        <f>"Ferie "&amp;A7&amp;" måned"</f>
        <v>Ferie Juni måned</v>
      </c>
      <c r="B43" s="880"/>
      <c r="C43" s="880"/>
      <c r="D43" s="880"/>
      <c r="E43" s="880"/>
      <c r="F43" s="880"/>
      <c r="G43" s="880"/>
      <c r="H43" s="262" t="str">
        <f>IF(D72&gt;0,$D$72,"0")</f>
        <v>0</v>
      </c>
      <c r="I43" s="881">
        <f>H43*7.4*Stamoplysninger!$E$15</f>
        <v>0</v>
      </c>
      <c r="J43" s="882"/>
      <c r="K43" s="883"/>
      <c r="L43" s="263"/>
      <c r="M43" s="852" t="s">
        <v>262</v>
      </c>
      <c r="N43" s="853"/>
      <c r="O43" s="853"/>
      <c r="P43" s="853"/>
      <c r="Q43" s="853"/>
      <c r="R43" s="853"/>
      <c r="S43" s="853"/>
      <c r="T43" s="853"/>
      <c r="U43" s="854"/>
      <c r="V43" s="992">
        <f>M71+S70+T70+M74+M78+M70+N70+N78</f>
        <v>0</v>
      </c>
      <c r="W43" s="992"/>
      <c r="X43" s="993"/>
      <c r="Y43" s="243"/>
      <c r="Z43" s="243"/>
      <c r="AD43" s="94"/>
      <c r="AE43" s="94"/>
      <c r="BM43" s="1"/>
      <c r="CJ43" s="1"/>
      <c r="CU43" s="253"/>
      <c r="CV43" s="253"/>
      <c r="CY43"/>
      <c r="CZ43"/>
    </row>
    <row r="44" spans="1:118">
      <c r="A44" s="879" t="str">
        <f>"Søgnehelligdage i "&amp;A7&amp;" måned"</f>
        <v>Søgnehelligdage i Juni måned</v>
      </c>
      <c r="B44" s="880"/>
      <c r="C44" s="880"/>
      <c r="D44" s="880"/>
      <c r="E44" s="880"/>
      <c r="F44" s="880"/>
      <c r="G44" s="880"/>
      <c r="H44" s="262">
        <f>IF(D71&gt;0,D71,0)</f>
        <v>0</v>
      </c>
      <c r="I44" s="881">
        <f>H44*7.4*Stamoplysninger!$E$15</f>
        <v>0</v>
      </c>
      <c r="J44" s="882"/>
      <c r="K44" s="883"/>
      <c r="L44" s="264"/>
      <c r="M44" s="1034" t="s">
        <v>301</v>
      </c>
      <c r="N44" s="1035"/>
      <c r="O44" s="1035"/>
      <c r="P44" s="1035"/>
      <c r="Q44" s="1035"/>
      <c r="R44" s="1035"/>
      <c r="S44" s="1035"/>
      <c r="T44" s="1035"/>
      <c r="U44" s="1036"/>
      <c r="V44" s="1037">
        <f>Maj!V53</f>
        <v>0</v>
      </c>
      <c r="W44" s="1038"/>
      <c r="X44" s="1041"/>
      <c r="Y44" s="243"/>
      <c r="Z44" s="243"/>
      <c r="AD44" s="94"/>
      <c r="AE44" s="94"/>
      <c r="BM44" s="1"/>
      <c r="CJ44" s="1"/>
      <c r="CU44" s="253"/>
      <c r="CV44" s="253"/>
      <c r="CY44"/>
      <c r="CZ44"/>
    </row>
    <row r="45" spans="1:118">
      <c r="A45" s="879" t="str">
        <f>"Nettoarbejdstid ialt i "&amp;A7&amp;" måned"</f>
        <v>Nettoarbejdstid ialt i Juni måned</v>
      </c>
      <c r="B45" s="880"/>
      <c r="C45" s="880"/>
      <c r="D45" s="880"/>
      <c r="E45" s="880"/>
      <c r="F45" s="880"/>
      <c r="G45" s="880"/>
      <c r="H45" s="265">
        <f>H42-H43-H44</f>
        <v>20</v>
      </c>
      <c r="I45" s="881">
        <f>I42-I43-I44</f>
        <v>0</v>
      </c>
      <c r="J45" s="882"/>
      <c r="K45" s="883"/>
      <c r="L45" s="414"/>
      <c r="M45" s="862" t="s">
        <v>308</v>
      </c>
      <c r="N45" s="863"/>
      <c r="O45" s="863"/>
      <c r="P45" s="863"/>
      <c r="Q45" s="863"/>
      <c r="R45" s="863"/>
      <c r="S45" s="863"/>
      <c r="T45" s="863"/>
      <c r="U45" s="864"/>
      <c r="V45" s="865">
        <f>SUM(V43:X44)</f>
        <v>0</v>
      </c>
      <c r="W45" s="866"/>
      <c r="X45" s="867"/>
      <c r="Y45" s="243"/>
      <c r="Z45" s="243"/>
      <c r="AD45" s="94"/>
      <c r="AE45" s="94"/>
      <c r="BM45" s="1"/>
      <c r="CJ45" s="1"/>
      <c r="CU45" s="253"/>
      <c r="CV45" s="253"/>
      <c r="CY45"/>
      <c r="CZ45"/>
    </row>
    <row r="46" spans="1:118">
      <c r="A46" s="895" t="str">
        <f>"Planlagt arbejdstid efter ovennstående "&amp;A7&amp;" måned kalender"</f>
        <v>Planlagt arbejdstid efter ovennstående Juni måned kalender</v>
      </c>
      <c r="B46" s="896"/>
      <c r="C46" s="896"/>
      <c r="D46" s="896"/>
      <c r="E46" s="896"/>
      <c r="F46" s="896"/>
      <c r="G46" s="896"/>
      <c r="H46" s="521">
        <f>D63+D64+D65+D66+D67+D68+D69</f>
        <v>20</v>
      </c>
      <c r="I46" s="897">
        <f>N39+R39-J66</f>
        <v>0</v>
      </c>
      <c r="J46" s="834"/>
      <c r="K46" s="898"/>
      <c r="L46" s="414"/>
      <c r="M46" s="817" t="s">
        <v>299</v>
      </c>
      <c r="N46" s="818"/>
      <c r="O46" s="818"/>
      <c r="P46" s="818"/>
      <c r="Q46" s="818"/>
      <c r="R46" s="818"/>
      <c r="S46" s="818"/>
      <c r="T46" s="818"/>
      <c r="U46" s="818"/>
      <c r="V46" s="818"/>
      <c r="W46" s="818"/>
      <c r="X46" s="819"/>
      <c r="Y46" s="243"/>
      <c r="Z46" s="243"/>
      <c r="AD46" s="94"/>
      <c r="AE46" s="94"/>
      <c r="BM46" s="1"/>
      <c r="CJ46" s="1"/>
      <c r="CU46" s="253"/>
      <c r="CV46" s="253"/>
      <c r="CY46"/>
      <c r="CZ46"/>
    </row>
    <row r="47" spans="1:118">
      <c r="A47" s="902" t="s">
        <v>492</v>
      </c>
      <c r="B47" s="903"/>
      <c r="C47" s="903"/>
      <c r="D47" s="903"/>
      <c r="E47" s="903"/>
      <c r="F47" s="903"/>
      <c r="G47" s="903"/>
      <c r="H47" s="904"/>
      <c r="I47" s="899">
        <f>(M70+M72+M80+M82+M76+M77+M81)*-1</f>
        <v>0</v>
      </c>
      <c r="J47" s="900"/>
      <c r="K47" s="901"/>
      <c r="L47" s="415"/>
      <c r="M47" s="820" t="s">
        <v>506</v>
      </c>
      <c r="N47" s="821"/>
      <c r="O47" s="821"/>
      <c r="P47" s="821"/>
      <c r="Q47" s="821"/>
      <c r="R47" s="821"/>
      <c r="S47" s="821"/>
      <c r="T47" s="821"/>
      <c r="U47" s="822"/>
      <c r="V47" s="823" t="s">
        <v>224</v>
      </c>
      <c r="W47" s="824"/>
      <c r="X47" s="825"/>
      <c r="Y47" s="243"/>
      <c r="Z47" s="243"/>
      <c r="AD47" s="94"/>
      <c r="AE47" s="94"/>
      <c r="BM47" s="1"/>
      <c r="CJ47" s="1"/>
      <c r="CU47" s="253"/>
      <c r="CV47" s="253"/>
      <c r="CY47"/>
      <c r="CZ47"/>
    </row>
    <row r="48" spans="1:118">
      <c r="A48" s="837" t="str">
        <f>"Arbejde særligt planlagt for "&amp;A7&amp;" måned efter fanen skemaoplysninger"</f>
        <v>Arbejde særligt planlagt for Juni måned efter fanen skemaoplysninger</v>
      </c>
      <c r="B48" s="838"/>
      <c r="C48" s="838"/>
      <c r="D48" s="838"/>
      <c r="E48" s="838"/>
      <c r="F48" s="838"/>
      <c r="G48" s="838"/>
      <c r="H48" s="839"/>
      <c r="I48" s="834">
        <f>Skemaoplysninger!U91</f>
        <v>0</v>
      </c>
      <c r="J48" s="835"/>
      <c r="K48" s="836"/>
      <c r="L48" s="416"/>
      <c r="M48" s="805"/>
      <c r="N48" s="806"/>
      <c r="O48" s="806"/>
      <c r="P48" s="806"/>
      <c r="Q48" s="806"/>
      <c r="R48" s="806"/>
      <c r="S48" s="806"/>
      <c r="T48" s="806"/>
      <c r="U48" s="807"/>
      <c r="V48" s="826"/>
      <c r="W48" s="826"/>
      <c r="X48" s="827"/>
      <c r="Y48"/>
      <c r="Z48" s="243"/>
      <c r="AA48" s="243"/>
      <c r="AG48" s="94"/>
      <c r="AH48" s="94"/>
      <c r="BA48" s="243"/>
      <c r="BO48" s="1"/>
      <c r="CL48" s="1"/>
      <c r="CV48" s="253"/>
      <c r="CW48" s="253"/>
      <c r="CY48"/>
      <c r="CZ48"/>
    </row>
    <row r="49" spans="1:110">
      <c r="A49" s="884" t="s">
        <v>296</v>
      </c>
      <c r="B49" s="885"/>
      <c r="C49" s="885"/>
      <c r="D49" s="885"/>
      <c r="E49" s="885"/>
      <c r="F49" s="885"/>
      <c r="G49" s="885"/>
      <c r="H49" s="885"/>
      <c r="I49" s="1027">
        <f>V39+X39-N67-N65-P65</f>
        <v>0</v>
      </c>
      <c r="J49" s="899"/>
      <c r="K49" s="1028"/>
      <c r="L49" s="245"/>
      <c r="M49" s="805"/>
      <c r="N49" s="806"/>
      <c r="O49" s="806"/>
      <c r="P49" s="806"/>
      <c r="Q49" s="806"/>
      <c r="R49" s="806"/>
      <c r="S49" s="806"/>
      <c r="T49" s="806"/>
      <c r="U49" s="807"/>
      <c r="V49" s="808"/>
      <c r="W49" s="809"/>
      <c r="X49" s="810"/>
      <c r="Y49"/>
      <c r="Z49" s="243"/>
      <c r="AA49" s="243"/>
      <c r="AE49" s="94"/>
      <c r="AG49" s="94"/>
      <c r="BN49" s="1"/>
      <c r="CK49" s="1"/>
      <c r="CV49" s="253"/>
      <c r="CW49" s="253"/>
      <c r="CY49"/>
      <c r="CZ49"/>
    </row>
    <row r="50" spans="1:110" ht="17" thickBot="1">
      <c r="A50" s="266" t="str">
        <f>"Faktisk arbejdstid ialt i "&amp;A7&amp;" måned"</f>
        <v>Faktisk arbejdstid ialt i Juni måned</v>
      </c>
      <c r="B50" s="330"/>
      <c r="C50" s="331"/>
      <c r="D50" s="331"/>
      <c r="E50" s="331"/>
      <c r="F50" s="331"/>
      <c r="G50" s="331"/>
      <c r="H50" s="332"/>
      <c r="I50" s="840">
        <f>I46+I49+I48+I47</f>
        <v>0</v>
      </c>
      <c r="J50" s="841"/>
      <c r="K50" s="842"/>
      <c r="L50" s="245"/>
      <c r="M50" s="805"/>
      <c r="N50" s="806"/>
      <c r="O50" s="806"/>
      <c r="P50" s="806"/>
      <c r="Q50" s="806"/>
      <c r="R50" s="806"/>
      <c r="S50" s="806"/>
      <c r="T50" s="806"/>
      <c r="U50" s="807"/>
      <c r="V50" s="808"/>
      <c r="W50" s="809"/>
      <c r="X50" s="810"/>
      <c r="Y50" s="243"/>
      <c r="Z50" s="243"/>
      <c r="AA50" s="218"/>
      <c r="AB50" s="252"/>
      <c r="AC50" s="252"/>
      <c r="AD50" s="252"/>
      <c r="AE50" s="243"/>
      <c r="AF50" s="252"/>
      <c r="AH50" s="243"/>
      <c r="AI50" s="243"/>
      <c r="AM50" s="94"/>
      <c r="AN50" s="94"/>
      <c r="BU50" s="1"/>
      <c r="CR50" s="1"/>
      <c r="CY50"/>
      <c r="CZ50"/>
      <c r="DC50" s="253"/>
      <c r="DD50" s="253"/>
    </row>
    <row r="51" spans="1:110" ht="17" thickBot="1">
      <c r="A51" s="260"/>
      <c r="B51" s="260"/>
      <c r="C51" s="260"/>
      <c r="D51" s="260"/>
      <c r="E51" s="260"/>
      <c r="F51" s="260"/>
      <c r="G51" s="260"/>
      <c r="H51" s="260"/>
      <c r="I51" s="577"/>
      <c r="J51" s="577"/>
      <c r="K51" s="577"/>
      <c r="L51" s="551"/>
      <c r="M51" s="805"/>
      <c r="N51" s="806"/>
      <c r="O51" s="806"/>
      <c r="P51" s="806"/>
      <c r="Q51" s="806"/>
      <c r="R51" s="806"/>
      <c r="S51" s="806"/>
      <c r="T51" s="806"/>
      <c r="U51" s="807"/>
      <c r="V51" s="808"/>
      <c r="W51" s="809"/>
      <c r="X51" s="810"/>
      <c r="Y51" s="243"/>
      <c r="Z51" s="243"/>
      <c r="AA51" s="243"/>
      <c r="AB51" s="243"/>
      <c r="AC51" s="218"/>
      <c r="AD51" s="252"/>
      <c r="AE51" s="252"/>
      <c r="AF51" s="252"/>
      <c r="AG51" s="252"/>
      <c r="AH51" s="243"/>
      <c r="AJ51" s="243"/>
      <c r="AK51" s="243"/>
      <c r="AO51" s="94"/>
      <c r="AP51" s="94"/>
      <c r="BW51" s="1"/>
      <c r="CT51" s="1"/>
      <c r="CY51"/>
      <c r="CZ51"/>
      <c r="DE51" s="253"/>
      <c r="DF51" s="253"/>
    </row>
    <row r="52" spans="1:110" ht="35" thickBot="1">
      <c r="A52" s="875" t="s">
        <v>527</v>
      </c>
      <c r="B52" s="876"/>
      <c r="C52" s="876"/>
      <c r="D52" s="876"/>
      <c r="E52" s="876"/>
      <c r="F52" s="876"/>
      <c r="G52" s="876"/>
      <c r="H52" s="670" t="s">
        <v>614</v>
      </c>
      <c r="I52" s="876" t="s">
        <v>526</v>
      </c>
      <c r="J52" s="876"/>
      <c r="K52" s="878"/>
      <c r="L52" s="551"/>
      <c r="M52" s="811" t="s">
        <v>300</v>
      </c>
      <c r="N52" s="812"/>
      <c r="O52" s="812"/>
      <c r="P52" s="812"/>
      <c r="Q52" s="812"/>
      <c r="R52" s="812"/>
      <c r="S52" s="812"/>
      <c r="T52" s="812"/>
      <c r="U52" s="813"/>
      <c r="V52" s="1006">
        <f>V45-SUM(V48:X51)</f>
        <v>0</v>
      </c>
      <c r="W52" s="1007"/>
      <c r="X52" s="1008"/>
      <c r="Y52" s="243"/>
      <c r="Z52" s="243"/>
      <c r="AA52" s="243"/>
      <c r="AB52" s="243"/>
      <c r="AC52" s="218"/>
      <c r="AD52" s="252"/>
      <c r="AE52" s="252"/>
      <c r="AF52" s="252"/>
      <c r="AG52" s="252"/>
      <c r="AH52" s="243"/>
      <c r="AJ52" s="243"/>
      <c r="AK52" s="243"/>
      <c r="AO52" s="94"/>
      <c r="AP52" s="94"/>
      <c r="BW52" s="1"/>
      <c r="CT52" s="1"/>
      <c r="CY52"/>
      <c r="CZ52"/>
      <c r="DE52" s="253"/>
      <c r="DF52" s="253"/>
    </row>
    <row r="53" spans="1:110" ht="16" customHeight="1">
      <c r="A53" s="905"/>
      <c r="B53" s="906"/>
      <c r="C53" s="906"/>
      <c r="D53" s="906"/>
      <c r="E53" s="906"/>
      <c r="F53" s="906"/>
      <c r="G53" s="906"/>
      <c r="H53" s="666">
        <f>Maj!H62</f>
        <v>0</v>
      </c>
      <c r="I53" s="978">
        <f>Maj!I62</f>
        <v>0</v>
      </c>
      <c r="J53" s="978"/>
      <c r="K53" s="979"/>
      <c r="L53" s="551"/>
      <c r="M53" s="578"/>
      <c r="N53" s="578"/>
      <c r="O53" s="578"/>
      <c r="P53" s="578"/>
      <c r="Q53" s="579"/>
      <c r="R53" s="580"/>
      <c r="S53" s="580"/>
      <c r="T53" s="580"/>
      <c r="U53" s="580"/>
      <c r="V53" s="578"/>
      <c r="W53" s="581"/>
      <c r="X53" s="578"/>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1013" t="s">
        <v>530</v>
      </c>
      <c r="B54" s="1014"/>
      <c r="C54" s="1014"/>
      <c r="D54" s="1014"/>
      <c r="E54" s="1014"/>
      <c r="F54" s="1014"/>
      <c r="G54" s="1015"/>
      <c r="H54" s="664"/>
      <c r="I54" s="1016"/>
      <c r="J54" s="1017"/>
      <c r="K54" s="1018"/>
      <c r="L54" s="551"/>
      <c r="M54" s="578"/>
      <c r="N54" s="578"/>
      <c r="O54" s="578"/>
      <c r="P54" s="578"/>
      <c r="Q54" s="579"/>
      <c r="R54" s="580"/>
      <c r="S54" s="580"/>
      <c r="T54" s="580"/>
      <c r="U54" s="580"/>
      <c r="V54" s="578"/>
      <c r="W54" s="581"/>
      <c r="X54" s="578"/>
      <c r="Y54" s="243"/>
      <c r="Z54" s="243"/>
      <c r="AA54" s="243"/>
      <c r="AB54" s="243"/>
      <c r="AC54" s="218"/>
      <c r="AD54" s="252"/>
      <c r="AE54" s="252"/>
      <c r="AF54" s="252"/>
      <c r="AG54" s="252"/>
      <c r="AH54" s="243"/>
      <c r="AJ54" s="243"/>
      <c r="AK54" s="243"/>
      <c r="AO54" s="94"/>
      <c r="AP54" s="94"/>
      <c r="BW54" s="1"/>
      <c r="CT54" s="1"/>
      <c r="CY54"/>
      <c r="CZ54"/>
      <c r="DE54" s="253"/>
      <c r="DF54" s="253"/>
    </row>
    <row r="55" spans="1:110" ht="37" customHeight="1">
      <c r="A55" s="802" t="s">
        <v>616</v>
      </c>
      <c r="B55" s="803"/>
      <c r="C55" s="803"/>
      <c r="D55" s="803"/>
      <c r="E55" s="803"/>
      <c r="F55" s="803"/>
      <c r="G55" s="803"/>
      <c r="H55" s="803"/>
      <c r="I55" s="803"/>
      <c r="J55" s="803"/>
      <c r="K55" s="804"/>
      <c r="L55" s="551"/>
      <c r="M55" s="578"/>
      <c r="N55" s="578"/>
      <c r="O55" s="578"/>
      <c r="P55" s="578"/>
      <c r="Q55" s="579"/>
      <c r="R55" s="580"/>
      <c r="S55" s="580"/>
      <c r="T55" s="580"/>
      <c r="U55" s="580"/>
      <c r="V55" s="578"/>
      <c r="W55" s="581"/>
      <c r="X55" s="578"/>
      <c r="Y55" s="243"/>
      <c r="Z55" s="243"/>
      <c r="AA55" s="243"/>
      <c r="AB55" s="243"/>
      <c r="AC55" s="218"/>
      <c r="AD55" s="252"/>
      <c r="AE55" s="252"/>
      <c r="AF55" s="252"/>
      <c r="AG55" s="252"/>
      <c r="AH55" s="243"/>
      <c r="AJ55" s="243"/>
      <c r="AK55" s="243"/>
      <c r="AO55" s="94"/>
      <c r="AP55" s="94"/>
      <c r="BW55" s="1"/>
      <c r="CT55" s="1"/>
      <c r="CY55"/>
      <c r="CZ55"/>
      <c r="DE55" s="253"/>
      <c r="DF55" s="253"/>
    </row>
    <row r="56" spans="1:110" ht="35" customHeight="1">
      <c r="A56" s="907" t="s">
        <v>615</v>
      </c>
      <c r="B56" s="908"/>
      <c r="C56" s="958" t="s">
        <v>566</v>
      </c>
      <c r="D56" s="959"/>
      <c r="E56" s="960" t="s">
        <v>567</v>
      </c>
      <c r="F56" s="803"/>
      <c r="G56" s="961"/>
      <c r="H56" s="970" t="s">
        <v>528</v>
      </c>
      <c r="I56" s="970"/>
      <c r="J56" s="970"/>
      <c r="K56" s="971"/>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0">
      <c r="A57" s="962"/>
      <c r="B57" s="963"/>
      <c r="C57" s="966"/>
      <c r="D57" s="965"/>
      <c r="E57" s="967"/>
      <c r="F57" s="968"/>
      <c r="G57" s="969"/>
      <c r="H57" s="665"/>
      <c r="I57" s="956"/>
      <c r="J57" s="956"/>
      <c r="K57" s="957"/>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0">
      <c r="A58" s="964"/>
      <c r="B58" s="965"/>
      <c r="C58" s="966"/>
      <c r="D58" s="965"/>
      <c r="E58" s="967"/>
      <c r="F58" s="968"/>
      <c r="G58" s="969"/>
      <c r="H58" s="665"/>
      <c r="I58" s="956"/>
      <c r="J58" s="956"/>
      <c r="K58" s="957"/>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0">
      <c r="A59" s="964"/>
      <c r="B59" s="965"/>
      <c r="C59" s="966"/>
      <c r="D59" s="965"/>
      <c r="E59" s="967"/>
      <c r="F59" s="968"/>
      <c r="G59" s="969"/>
      <c r="H59" s="665"/>
      <c r="I59" s="956"/>
      <c r="J59" s="956"/>
      <c r="K59" s="957"/>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0">
      <c r="A60" s="964"/>
      <c r="B60" s="965"/>
      <c r="C60" s="966"/>
      <c r="D60" s="965"/>
      <c r="E60" s="967"/>
      <c r="F60" s="968"/>
      <c r="G60" s="969"/>
      <c r="H60" s="665"/>
      <c r="I60" s="956"/>
      <c r="J60" s="956"/>
      <c r="K60" s="957"/>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0" ht="17" thickBot="1">
      <c r="A61" s="953" t="s">
        <v>529</v>
      </c>
      <c r="B61" s="954"/>
      <c r="C61" s="955"/>
      <c r="D61" s="955"/>
      <c r="E61" s="955"/>
      <c r="F61" s="955"/>
      <c r="G61" s="955"/>
      <c r="H61" s="667">
        <f>H54+H53-SUM(H57:H60)</f>
        <v>0</v>
      </c>
      <c r="I61" s="950">
        <f>I53+I54-SUM(I57:K60)</f>
        <v>0</v>
      </c>
      <c r="J61" s="951"/>
      <c r="K61" s="952"/>
      <c r="L61" s="551"/>
      <c r="M61" s="578"/>
      <c r="N61" s="578"/>
      <c r="O61" s="578"/>
      <c r="P61" s="578"/>
      <c r="Q61" s="579"/>
      <c r="R61" s="580"/>
      <c r="S61" s="580"/>
      <c r="T61" s="580"/>
      <c r="U61" s="580"/>
      <c r="V61" s="578"/>
      <c r="W61" s="581"/>
      <c r="X61" s="578"/>
      <c r="Y61" s="243"/>
      <c r="Z61" s="243"/>
      <c r="AA61" s="243"/>
      <c r="AB61" s="243"/>
      <c r="AC61" s="218"/>
      <c r="AD61" s="252"/>
      <c r="AE61" s="252"/>
      <c r="AF61" s="252"/>
      <c r="AG61" s="252"/>
      <c r="AH61" s="243"/>
      <c r="AJ61" s="243"/>
      <c r="AK61" s="243"/>
      <c r="AO61" s="94"/>
      <c r="AP61" s="94"/>
      <c r="BW61" s="1"/>
      <c r="CT61" s="1"/>
      <c r="CY61"/>
      <c r="CZ61"/>
      <c r="DE61" s="253"/>
      <c r="DF61" s="253"/>
    </row>
    <row r="62" spans="1:110">
      <c r="A62" s="470"/>
      <c r="B62" s="470"/>
      <c r="C62" s="470"/>
      <c r="D62" s="470"/>
      <c r="E62" s="470"/>
      <c r="F62" s="470"/>
      <c r="G62" s="470"/>
      <c r="H62" s="482"/>
      <c r="I62" s="234"/>
      <c r="J62" s="234"/>
      <c r="K62" s="268" t="s">
        <v>297</v>
      </c>
      <c r="L62" s="245"/>
      <c r="M62" s="243"/>
      <c r="N62" s="243"/>
      <c r="O62" s="218"/>
      <c r="P62" s="252"/>
      <c r="Q62" s="252"/>
      <c r="R62" s="252"/>
      <c r="S62" s="243"/>
      <c r="T62" s="252"/>
      <c r="V62" s="243"/>
      <c r="W62" s="243"/>
      <c r="Y62"/>
      <c r="Z62"/>
      <c r="AA62" s="94"/>
      <c r="AB62" s="94"/>
      <c r="BI62" s="1"/>
      <c r="CF62" s="1"/>
      <c r="CQ62" s="253"/>
      <c r="CR62" s="253"/>
      <c r="CY62"/>
      <c r="CZ62"/>
    </row>
    <row r="63" spans="1:110" hidden="1">
      <c r="A63" s="127" t="s">
        <v>209</v>
      </c>
      <c r="B63" s="127"/>
      <c r="C63" s="127"/>
      <c r="D63" s="127">
        <f>COUNTIF([0]!Juni,"Skema 1")</f>
        <v>20</v>
      </c>
      <c r="E63" s="422"/>
      <c r="F63" s="127" t="s">
        <v>189</v>
      </c>
      <c r="G63" s="127">
        <f>COUNTIFS($B$9:$B$38,"ma",[0]!Juni,"Skema 1")</f>
        <v>4</v>
      </c>
      <c r="H63" s="127"/>
      <c r="I63" s="127"/>
      <c r="J63" s="353"/>
      <c r="K63" s="354"/>
      <c r="L63" s="354"/>
      <c r="M63" s="243"/>
      <c r="N63" s="243"/>
      <c r="O63" s="218"/>
      <c r="P63" s="252"/>
      <c r="Q63" s="252"/>
      <c r="R63" s="252"/>
      <c r="S63" s="243"/>
      <c r="T63" s="252"/>
      <c r="V63" s="243"/>
      <c r="W63" s="243"/>
      <c r="Y63"/>
      <c r="Z63"/>
      <c r="AA63" s="94"/>
      <c r="AB63" s="94"/>
      <c r="BI63" s="1"/>
      <c r="CF63" s="1"/>
      <c r="CQ63" s="253"/>
      <c r="CR63" s="253"/>
      <c r="CY63"/>
      <c r="CZ63"/>
    </row>
    <row r="64" spans="1:110" hidden="1">
      <c r="A64" s="973" t="s">
        <v>210</v>
      </c>
      <c r="B64" s="973"/>
      <c r="C64" s="973"/>
      <c r="D64" s="127">
        <f>COUNTIF([0]!Juni,"Skema 2")</f>
        <v>0</v>
      </c>
      <c r="E64" s="422"/>
      <c r="F64" s="127" t="s">
        <v>190</v>
      </c>
      <c r="G64" s="127">
        <f>COUNTIFS($B$9:$B$38,"ti",[0]!Juni,"Skema 1")</f>
        <v>4</v>
      </c>
      <c r="H64" s="127"/>
      <c r="I64" s="127"/>
      <c r="J64" s="353"/>
      <c r="K64" s="354"/>
      <c r="L64" s="354"/>
      <c r="M64" s="243"/>
      <c r="N64" s="243"/>
      <c r="O64" s="218"/>
      <c r="P64" s="252"/>
      <c r="Q64" s="252"/>
      <c r="R64" s="252"/>
      <c r="S64" s="243"/>
      <c r="T64" s="252"/>
      <c r="V64" s="243"/>
      <c r="W64" s="243"/>
      <c r="Y64"/>
      <c r="Z64"/>
      <c r="AA64" s="94"/>
      <c r="AB64" s="94"/>
      <c r="BI64" s="1"/>
      <c r="CF64" s="1"/>
      <c r="CQ64" s="253"/>
      <c r="CR64" s="253"/>
      <c r="CY64"/>
      <c r="CZ64"/>
    </row>
    <row r="65" spans="1:109" hidden="1">
      <c r="A65" s="972" t="s">
        <v>211</v>
      </c>
      <c r="B65" s="972"/>
      <c r="C65" s="972"/>
      <c r="D65" s="547">
        <f>COUNTIF([0]!Juni,"Skema 3")</f>
        <v>0</v>
      </c>
      <c r="E65" s="549"/>
      <c r="F65" s="547" t="s">
        <v>191</v>
      </c>
      <c r="G65" s="547">
        <f>COUNTIFS($B$9:$B$38,"on",[0]!Juni,"Skema 1")</f>
        <v>4</v>
      </c>
      <c r="H65" s="547"/>
      <c r="I65" s="127"/>
      <c r="J65" s="353"/>
      <c r="K65" s="354"/>
      <c r="L65" s="477"/>
      <c r="M65" s="243"/>
      <c r="N65" s="550">
        <f>IF($C$9="Ikke relevant",V9,0)+IF($C$10="Ikke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relevant",V37,0)+IF($C$38="Ikke relevant",V38,0)</f>
        <v>0</v>
      </c>
      <c r="O65" s="550">
        <f t="shared" ref="O65" si="32">IF($C$9="Ikke relevant",W9,0)+IF($C$10="Ikke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relevant",W37,0)+IF($C$38="Ikke relevant",W38,0)</f>
        <v>0</v>
      </c>
      <c r="P65" s="550">
        <f>IF($C$9="Ikke relevant",X9,0)+IF($C$10="Ikke relevant",X10,0)+IF($C$11="Ikke relevant",X11,0)+IF($C$12="Ikke relevant",X12,0)+IF($C$13="Ikke relevant",X13,0)+IF($C$14="Ikke relevant",X14,0)+IF($C$15="Ikke relevant",X15,0)+IF($C$16="Ikke relevant",X16,0)+IF($C$17="Ikke relevant",X17,0)+IF($C$18="Ikke relevant",X18,0)+IF($C$19="Ikke relevant",X19,0)+IF($C$20="Ikke relevant",X20,0)+IF($C$21="Ikke relevant",X21,0)+IF($C$22="Ikke relevant",X22,0)+IF($C$23="Ikke relevant",X23,0)+IF($C$24="Ikke relevant",X24,0)+IF($C$25="Ikke relevant",X25,0)+IF($C$26="Ikke relevant",X26,0)+IF($C$27="Ikke relevant",X27,0)+IF($C$28="Ikke relevant",X28,0)+IF($C$29="Ikke relevant",X29,0)+IF($C$30="Ikke relevant",X30,0)+IF($C$31="Ikke relevant",X31,0)+IF($C$32="Ikke relevant",X32,0)+IF($C$33="Ikke relevant",X33,0)+IF($C$34="Ikke relevant",X34,0)+IF($C$35="Ikke relevant",X35,0)+IF($C$36="Ikke relevant",X36,0)+IF($C$37="Ikke relevant",X37,0)+IF($C$38="Ikke relevant",X38,0)</f>
        <v>0</v>
      </c>
      <c r="Q65" s="579" t="s">
        <v>622</v>
      </c>
      <c r="R65" s="252"/>
      <c r="S65" s="243"/>
      <c r="T65" s="252"/>
      <c r="V65" s="243"/>
      <c r="W65" s="243"/>
      <c r="Y65"/>
      <c r="Z65"/>
      <c r="AA65" s="94"/>
      <c r="AB65" s="94"/>
      <c r="BI65" s="1"/>
      <c r="CF65" s="1"/>
      <c r="CQ65" s="253"/>
      <c r="CR65" s="253"/>
      <c r="CY65"/>
      <c r="CZ65"/>
    </row>
    <row r="66" spans="1:109" hidden="1">
      <c r="A66" s="972" t="s">
        <v>212</v>
      </c>
      <c r="B66" s="972"/>
      <c r="C66" s="972"/>
      <c r="D66" s="547">
        <f>COUNTIF([0]!Juni,"Skema 4")</f>
        <v>0</v>
      </c>
      <c r="E66" s="549"/>
      <c r="F66" s="547" t="s">
        <v>193</v>
      </c>
      <c r="G66" s="547">
        <f>COUNTIFS($B$9:$B$38,"to",[0]!Juni,"Skema 1")</f>
        <v>4</v>
      </c>
      <c r="H66" s="547"/>
      <c r="I66" s="234" t="s">
        <v>496</v>
      </c>
      <c r="J66" s="532">
        <f>IF(C9="Ikke relevant",R9,0)+IF(C10="Ikke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f>
        <v>0</v>
      </c>
      <c r="K66" s="477"/>
      <c r="L66" s="477"/>
      <c r="M66" s="470" t="s">
        <v>327</v>
      </c>
      <c r="N66" s="470" t="s">
        <v>423</v>
      </c>
      <c r="O66" s="260"/>
      <c r="P66" s="260"/>
      <c r="Q66" s="260"/>
      <c r="R66" s="260"/>
      <c r="S66" s="260"/>
      <c r="T66" s="260"/>
      <c r="U66" s="260"/>
      <c r="V66" s="260"/>
      <c r="W66" s="260"/>
      <c r="X66" s="260"/>
      <c r="Y66" s="243"/>
      <c r="Z66" s="243"/>
      <c r="AA66" s="243"/>
      <c r="AB66" s="218"/>
      <c r="AC66" s="252"/>
      <c r="AD66" s="252"/>
      <c r="AE66" s="252"/>
      <c r="AF66" s="252"/>
      <c r="AG66" s="243"/>
      <c r="AI66" s="243"/>
      <c r="AJ66" s="243"/>
      <c r="AN66" s="94"/>
      <c r="AO66" s="94"/>
      <c r="BV66" s="1"/>
      <c r="CS66" s="1"/>
      <c r="CY66"/>
      <c r="CZ66"/>
      <c r="DD66" s="253"/>
      <c r="DE66" s="253"/>
    </row>
    <row r="67" spans="1:109" hidden="1">
      <c r="A67" s="547" t="s">
        <v>113</v>
      </c>
      <c r="B67" s="547"/>
      <c r="C67" s="547"/>
      <c r="D67" s="547">
        <f>COUNTIF([0]!Juni,"Fagdag")+COUNTIF([0]!Juni,"emnedag")</f>
        <v>0</v>
      </c>
      <c r="E67" s="549"/>
      <c r="F67" s="547" t="s">
        <v>192</v>
      </c>
      <c r="G67" s="547">
        <f>COUNTIFS($B$9:$B$38,"fr",[0]!Juni,"Skema 1")</f>
        <v>4</v>
      </c>
      <c r="H67" s="547"/>
      <c r="I67" t="s">
        <v>329</v>
      </c>
      <c r="J67" s="353"/>
      <c r="M67" s="463">
        <f>IF($I$9="X",$K$9,0)+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f>
        <v>0</v>
      </c>
      <c r="N67" s="463">
        <f>IF(AND($I$9="X",$S$9="x"),$V$9,0)+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f>
        <v>0</v>
      </c>
      <c r="O67" s="463"/>
      <c r="P67" s="354"/>
      <c r="Q67" s="465" t="s">
        <v>331</v>
      </c>
      <c r="R67" s="234"/>
      <c r="S67" s="234"/>
      <c r="T67" s="234" t="s">
        <v>332</v>
      </c>
      <c r="U67" s="234"/>
      <c r="V67" s="234"/>
      <c r="W67" s="122"/>
      <c r="X67" s="122"/>
      <c r="Y67" s="243"/>
      <c r="Z67" s="243"/>
      <c r="AA67" s="243"/>
      <c r="AB67" s="218"/>
      <c r="AC67" s="252"/>
      <c r="AD67" s="252"/>
      <c r="AE67" s="252"/>
      <c r="AF67" s="218"/>
      <c r="AG67" s="243"/>
      <c r="AI67" s="243"/>
      <c r="AJ67" s="243"/>
      <c r="AN67" s="94"/>
      <c r="AO67" s="94"/>
      <c r="BV67" s="1"/>
      <c r="CS67" s="1"/>
      <c r="CY67"/>
      <c r="CZ67"/>
      <c r="DD67" s="253"/>
      <c r="DE67" s="253"/>
    </row>
    <row r="68" spans="1:109" hidden="1">
      <c r="A68" s="553" t="s">
        <v>112</v>
      </c>
      <c r="B68" s="547"/>
      <c r="C68" s="547"/>
      <c r="D68" s="547">
        <f>COUNTIF([0]!Juni,"Lejrskole")+COUNTIF([0]!Juni,"Ekskursion")</f>
        <v>0</v>
      </c>
      <c r="E68" s="549"/>
      <c r="F68" s="547"/>
      <c r="G68" s="547"/>
      <c r="H68" s="547"/>
      <c r="I68" t="s">
        <v>343</v>
      </c>
      <c r="J68" s="353"/>
      <c r="M68" s="463">
        <f>IF(AND($I$9="X",$J$9="X"),($K$9*-1),0)+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f>
        <v>0</v>
      </c>
      <c r="N68" s="463">
        <f>IF(AND($I$9="X",$J$9="X"),$V$9*-1,0)+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f>
        <v>0</v>
      </c>
      <c r="O68" s="464">
        <v>0.5</v>
      </c>
      <c r="P68" s="354"/>
      <c r="Q68" s="465" t="s">
        <v>328</v>
      </c>
      <c r="R68" s="234"/>
      <c r="S68" s="234"/>
      <c r="T68" s="234"/>
      <c r="U68" s="234"/>
      <c r="V68" s="234"/>
      <c r="W68" s="122"/>
      <c r="X68" s="122"/>
      <c r="Y68" s="243"/>
      <c r="Z68" s="243"/>
      <c r="AA68" s="243"/>
      <c r="AB68" s="218"/>
      <c r="AC68" s="252"/>
      <c r="AD68" s="252"/>
      <c r="AE68" s="252"/>
      <c r="AF68" s="218"/>
      <c r="AG68" s="243"/>
      <c r="AI68" s="243"/>
      <c r="AJ68" s="243"/>
      <c r="AN68" s="94"/>
      <c r="AO68" s="94"/>
      <c r="BV68" s="1"/>
      <c r="CS68" s="1"/>
      <c r="CY68"/>
      <c r="CZ68"/>
      <c r="DD68" s="253"/>
      <c r="DE68" s="253"/>
    </row>
    <row r="69" spans="1:109" hidden="1">
      <c r="A69" s="547" t="s">
        <v>111</v>
      </c>
      <c r="B69" s="547"/>
      <c r="C69" s="547"/>
      <c r="D69" s="547">
        <f>COUNTIF([0]!Juni,"Pæd.dag")</f>
        <v>0</v>
      </c>
      <c r="E69" s="549"/>
      <c r="F69" s="547" t="s">
        <v>194</v>
      </c>
      <c r="G69" s="547">
        <f>COUNTIFS($B$9:$B$38,"ma",[0]!Juni,"Skema 2")</f>
        <v>0</v>
      </c>
      <c r="H69" s="547"/>
      <c r="I69" s="122" t="s">
        <v>342</v>
      </c>
      <c r="J69" s="353"/>
      <c r="M69" s="463">
        <f>SUM(M67:M68)</f>
        <v>0</v>
      </c>
      <c r="N69" s="463">
        <f>SUM(N67:N68)</f>
        <v>0</v>
      </c>
      <c r="O69" s="463">
        <f>(M69+N69)/2</f>
        <v>0</v>
      </c>
      <c r="P69" s="354">
        <f>SUM(M69:O69)</f>
        <v>0</v>
      </c>
      <c r="Q69" s="465">
        <f>(M69+N69)*25%</f>
        <v>0</v>
      </c>
      <c r="R69" s="234"/>
      <c r="S69" s="234"/>
      <c r="T69" s="234"/>
      <c r="U69" s="234"/>
      <c r="V69" s="234"/>
      <c r="W69" s="122"/>
      <c r="X69" s="122"/>
      <c r="Y69" s="243"/>
      <c r="Z69" s="243"/>
      <c r="AA69" s="243"/>
      <c r="AB69" s="218"/>
      <c r="AC69" s="252"/>
      <c r="AD69" s="252"/>
      <c r="AE69" s="252"/>
      <c r="AF69" s="218"/>
      <c r="AG69" s="243"/>
      <c r="AI69" s="243"/>
      <c r="AJ69" s="243"/>
      <c r="AN69" s="94"/>
      <c r="AO69" s="94"/>
      <c r="BV69" s="1"/>
      <c r="CS69" s="1"/>
      <c r="CY69"/>
      <c r="CZ69"/>
      <c r="DD69" s="253"/>
      <c r="DE69" s="253"/>
    </row>
    <row r="70" spans="1:109" hidden="1">
      <c r="A70" s="547" t="s">
        <v>121</v>
      </c>
      <c r="B70" s="547"/>
      <c r="C70" s="547"/>
      <c r="D70" s="547">
        <f>COUNTIF([0]!Juni,"Weekend")</f>
        <v>10</v>
      </c>
      <c r="E70" s="549"/>
      <c r="F70" s="547" t="s">
        <v>195</v>
      </c>
      <c r="G70" s="547">
        <f>COUNTIFS($B$9:$B$38,"ti",[0]!Juni,"Skema 2")</f>
        <v>0</v>
      </c>
      <c r="H70" s="547"/>
      <c r="I70" s="122" t="s">
        <v>482</v>
      </c>
      <c r="J70" s="353"/>
      <c r="M70" s="513">
        <f>IF(Stamoplysninger!$B$26="Weekendtimer og weekendtillæg afspadseres.",M67,0)</f>
        <v>0</v>
      </c>
      <c r="N70" s="513">
        <f>IF(Stamoplysninger!$B$26="Weekendtimer og weekendtillæg afspadseres.",N67,0)</f>
        <v>0</v>
      </c>
      <c r="O70" s="463"/>
      <c r="P70" s="354"/>
      <c r="Q70" s="465" t="s">
        <v>333</v>
      </c>
      <c r="R70" s="234"/>
      <c r="S70" s="234">
        <f>IF(Stamoplysninger!B22="Ulempetillæg afspadseres med 25%(Kræver en aftale imellem ledelsen og den ansatte)",Q69,0)</f>
        <v>0</v>
      </c>
      <c r="T70" s="234">
        <f>IF(Stamoplysninger!B22="Ulempetillæg afspadseres med 25%(Kræver en aftale imellem ledelsen og den ansatte)",(R39+X39)*0.25,0)</f>
        <v>0</v>
      </c>
      <c r="U70" s="234"/>
      <c r="V70" s="234"/>
      <c r="W70" s="122"/>
      <c r="X70" s="122"/>
      <c r="Y70"/>
      <c r="Z70"/>
      <c r="AM70" s="1"/>
      <c r="BJ70" s="1"/>
      <c r="BU70" s="253"/>
      <c r="BV70" s="253"/>
      <c r="CY70"/>
      <c r="CZ70"/>
    </row>
    <row r="71" spans="1:109" hidden="1">
      <c r="A71" s="547" t="s">
        <v>128</v>
      </c>
      <c r="B71" s="547"/>
      <c r="C71" s="547"/>
      <c r="D71" s="547">
        <f>COUNTIF([0]!Juni,"SH-dag")</f>
        <v>0</v>
      </c>
      <c r="E71" s="549"/>
      <c r="F71" s="547" t="s">
        <v>196</v>
      </c>
      <c r="G71" s="547">
        <f>COUNTIFS($B$9:$B$38,"on",[0]!Juni,"Skema 2")</f>
        <v>0</v>
      </c>
      <c r="H71" s="547"/>
      <c r="I71" s="542" t="s">
        <v>483</v>
      </c>
      <c r="J71" s="542"/>
      <c r="K71" s="542"/>
      <c r="L71" s="542"/>
      <c r="M71" s="513">
        <f>IF(Stamoplysninger!$B$26="Weekendtimer og weekendtillæg afspadseres.",O69,0)</f>
        <v>0</v>
      </c>
      <c r="N71" s="513">
        <f>IF(Stamoplysninger!$B$26="Weekendtimer og weekendtillæg afspadseres.",O69,0)</f>
        <v>0</v>
      </c>
      <c r="O71" s="463"/>
      <c r="P71" s="354"/>
      <c r="Q71" s="465" t="s">
        <v>330</v>
      </c>
      <c r="R71" s="234"/>
      <c r="S71" s="234">
        <f>IF(Stamoplysninger!B22="Ulempetillæg udbetales med 25% af nettotimelønnen.",Q69,0)</f>
        <v>0</v>
      </c>
      <c r="T71" s="234">
        <f>IF(Stamoplysninger!B22="Ulempetillæg udbetales med 25% af nettotimelønnen.",(R39+X39)*0.25,0)</f>
        <v>0</v>
      </c>
      <c r="U71" s="234"/>
      <c r="V71" s="234"/>
      <c r="W71" s="122"/>
      <c r="X71" s="122"/>
      <c r="Y71"/>
      <c r="Z71"/>
      <c r="AM71" s="1"/>
      <c r="BJ71" s="1"/>
      <c r="BU71" s="253"/>
      <c r="BV71" s="253"/>
      <c r="CY71"/>
      <c r="CZ71"/>
    </row>
    <row r="72" spans="1:109" hidden="1">
      <c r="A72" s="547" t="s">
        <v>110</v>
      </c>
      <c r="B72" s="547"/>
      <c r="C72" s="547"/>
      <c r="D72" s="547">
        <f>COUNTIF([0]!Juni,"Feriedag")</f>
        <v>0</v>
      </c>
      <c r="E72" s="549"/>
      <c r="F72" s="547" t="s">
        <v>197</v>
      </c>
      <c r="G72" s="547">
        <f>COUNTIFS($B$9:$B$38,"to",[0]!Juni,"Skema 2")</f>
        <v>0</v>
      </c>
      <c r="H72" s="547"/>
      <c r="I72" s="542" t="s">
        <v>484</v>
      </c>
      <c r="J72" s="542"/>
      <c r="K72" s="542"/>
      <c r="L72" s="542"/>
      <c r="M72" s="514">
        <f>IF(Stamoplysninger!$B$26="Weekendtimer og weekendtillæg udbetales.",M67,0)</f>
        <v>0</v>
      </c>
      <c r="N72" s="514">
        <f>IF(Stamoplysninger!$B$26="Weekendtimer og weekendtillæg udbetales.",N67,0)</f>
        <v>0</v>
      </c>
      <c r="O72" s="463"/>
      <c r="P72" s="354"/>
      <c r="Q72" s="465"/>
      <c r="R72" s="234"/>
      <c r="S72" s="234"/>
      <c r="T72" s="234"/>
      <c r="U72" s="234"/>
      <c r="V72" s="234"/>
      <c r="W72" s="122"/>
      <c r="X72" s="122"/>
      <c r="Y72"/>
      <c r="Z72"/>
      <c r="AM72" s="1"/>
      <c r="BJ72" s="1"/>
      <c r="BU72" s="253"/>
      <c r="BV72" s="253"/>
      <c r="CY72"/>
      <c r="CZ72"/>
    </row>
    <row r="73" spans="1:109" hidden="1">
      <c r="A73" s="547" t="s">
        <v>181</v>
      </c>
      <c r="B73" s="547"/>
      <c r="C73" s="547"/>
      <c r="D73" s="547">
        <f>COUNTIF([0]!Juni,"Nul-dag")</f>
        <v>0</v>
      </c>
      <c r="E73" s="549"/>
      <c r="F73" s="547" t="s">
        <v>198</v>
      </c>
      <c r="G73" s="547">
        <f>COUNTIFS($B$9:$B$38,"fr",[0]!Juni,"Skema 2")</f>
        <v>0</v>
      </c>
      <c r="H73" s="547"/>
      <c r="I73" s="542" t="s">
        <v>485</v>
      </c>
      <c r="J73" s="542"/>
      <c r="K73" s="542"/>
      <c r="L73" s="542"/>
      <c r="M73" s="514">
        <f>IF(Stamoplysninger!$B$26="Weekendtimer og weekendtillæg udbetales.",O69,0)</f>
        <v>0</v>
      </c>
      <c r="N73" s="514">
        <f>IF(Stamoplysninger!$B$26="Weekendtimer og weekendtillæg udbetales.",O69,0)</f>
        <v>0</v>
      </c>
      <c r="O73" s="463"/>
      <c r="P73" s="354"/>
      <c r="Q73" s="465"/>
      <c r="R73" s="234"/>
      <c r="S73" s="234"/>
      <c r="T73" s="234"/>
      <c r="U73" s="234"/>
      <c r="V73" s="234"/>
      <c r="W73" s="122"/>
      <c r="X73" s="122"/>
      <c r="Y73"/>
      <c r="Z73"/>
      <c r="AM73" s="1"/>
      <c r="BJ73" s="1"/>
      <c r="BU73" s="253"/>
      <c r="BV73" s="253"/>
      <c r="CY73"/>
      <c r="CZ73"/>
    </row>
    <row r="74" spans="1:109" hidden="1">
      <c r="A74" s="547" t="s">
        <v>444</v>
      </c>
      <c r="B74" s="547"/>
      <c r="C74" s="547"/>
      <c r="D74" s="547">
        <f>COUNTIF([0]!Juni,"Orlov")</f>
        <v>0</v>
      </c>
      <c r="E74" s="549"/>
      <c r="F74" s="556"/>
      <c r="G74" s="556"/>
      <c r="H74" s="556"/>
      <c r="I74" s="542" t="s">
        <v>334</v>
      </c>
      <c r="J74" s="542"/>
      <c r="K74" s="542"/>
      <c r="L74" s="542"/>
      <c r="M74" s="515">
        <f>IF(Stamoplysninger!$B$26="Der er indgået lokalaftale omkring weekendtimer.(Kræver aftale med TR/FSL) Weekendtillæg afspadseres.",O69,0)</f>
        <v>0</v>
      </c>
      <c r="N74" s="515">
        <f>IF(Stamoplysninger!$B$26="Der er indgået lokalaftale omkring weekendtimer.(Kræver aftale med TR/FSL) Weekendtillæg afspadseres.",N67,0)</f>
        <v>0</v>
      </c>
      <c r="O74" s="463"/>
      <c r="P74" s="354"/>
      <c r="Q74" s="465"/>
      <c r="R74" s="234"/>
      <c r="S74" s="234"/>
      <c r="T74" s="234"/>
      <c r="U74" s="234"/>
      <c r="V74" s="234"/>
      <c r="W74" s="122"/>
      <c r="X74" s="122"/>
      <c r="Y74"/>
      <c r="Z74"/>
      <c r="AM74" s="1"/>
      <c r="BJ74" s="1"/>
      <c r="BU74" s="253"/>
      <c r="BV74" s="253"/>
      <c r="CY74"/>
      <c r="CZ74"/>
    </row>
    <row r="75" spans="1:109" hidden="1">
      <c r="A75" s="547" t="s">
        <v>161</v>
      </c>
      <c r="B75" s="547"/>
      <c r="C75" s="547"/>
      <c r="D75" s="547">
        <f>COUNTIF([0]!Juni,"Ikke relevant")</f>
        <v>0</v>
      </c>
      <c r="E75" s="549"/>
      <c r="F75" s="547" t="s">
        <v>199</v>
      </c>
      <c r="G75" s="547">
        <f>COUNTIFS($B$9:$B$38,"ma",[0]!Juni,"Skema 3")</f>
        <v>0</v>
      </c>
      <c r="H75" s="547">
        <v>1</v>
      </c>
      <c r="I75" s="542" t="s">
        <v>335</v>
      </c>
      <c r="J75" s="542"/>
      <c r="K75" s="542"/>
      <c r="L75" s="542"/>
      <c r="M75" s="515">
        <f>IF(Stamoplysninger!$B$26="Der er indgået lokalaftale omkring weekendtimer(Kræver aftale med TR/FSL). Weekendtillæg udbetales.",O69,0)</f>
        <v>0</v>
      </c>
      <c r="N75" s="515">
        <f>IF(Stamoplysninger!$B$26="Der er indgået lokalaftale omkring weekendtimer(Kræver aftale med TR/FSL). Weekendtillæg udbetales.",N67,0)</f>
        <v>0</v>
      </c>
      <c r="O75" s="463"/>
      <c r="P75" s="354"/>
      <c r="Q75" s="465"/>
      <c r="R75" s="234"/>
      <c r="S75" s="234"/>
      <c r="T75" s="234"/>
      <c r="U75" s="234"/>
      <c r="V75" s="234"/>
      <c r="W75" s="122"/>
      <c r="X75" s="122"/>
      <c r="Y75"/>
      <c r="Z75"/>
      <c r="AM75" s="1"/>
      <c r="BJ75" s="1"/>
      <c r="BU75" s="253"/>
      <c r="BV75" s="253"/>
      <c r="CY75"/>
      <c r="CZ75"/>
    </row>
    <row r="76" spans="1:109" hidden="1">
      <c r="A76" s="547" t="s">
        <v>109</v>
      </c>
      <c r="B76" s="547"/>
      <c r="C76" s="547"/>
      <c r="D76" s="547">
        <f>SUM(D63:D75)</f>
        <v>30</v>
      </c>
      <c r="E76" s="547"/>
      <c r="F76" s="547" t="s">
        <v>200</v>
      </c>
      <c r="G76" s="547">
        <f>COUNTIFS($B$9:$B$38,"ti",[0]!Juni,"Skema 3")</f>
        <v>0</v>
      </c>
      <c r="H76" s="547">
        <v>2</v>
      </c>
      <c r="I76" s="542" t="s">
        <v>487</v>
      </c>
      <c r="J76" s="542"/>
      <c r="K76" s="542"/>
      <c r="L76" s="542"/>
      <c r="M76" s="515">
        <f>IF(Stamoplysninger!$B$26="Der er indgået lokalaftale omkring weekendtimer.(Kræver aftale med TR/FSL) Weekendtillæg afspadseres.",M67,0)</f>
        <v>0</v>
      </c>
      <c r="N76" s="515">
        <f>IF(Stamoplysninger!$B$26="Der er indgået lokalaftale omkring weekendtimer.(Kræver aftale med TR/FSL) Weekendtillæg afspadseres.",O69,0)</f>
        <v>0</v>
      </c>
      <c r="O76" s="44"/>
      <c r="P76" s="44"/>
      <c r="Q76" s="44"/>
      <c r="R76" s="44"/>
      <c r="S76" s="44"/>
      <c r="T76" s="44"/>
      <c r="V76" s="116"/>
      <c r="Y76"/>
      <c r="Z76" s="1"/>
      <c r="AX76" s="1"/>
      <c r="BI76" s="253"/>
      <c r="BJ76" s="253"/>
      <c r="CY76"/>
      <c r="CZ76"/>
    </row>
    <row r="77" spans="1:109" hidden="1">
      <c r="A77" s="547" t="s">
        <v>242</v>
      </c>
      <c r="B77" s="547"/>
      <c r="C77" s="547"/>
      <c r="D77" s="547">
        <f>D76-D70-A86-D75</f>
        <v>20</v>
      </c>
      <c r="E77" s="557"/>
      <c r="F77" s="547" t="s">
        <v>201</v>
      </c>
      <c r="G77" s="547">
        <f>COUNTIFS($B$9:$B$38,"on",[0]!Juni,"Skema 3")</f>
        <v>0</v>
      </c>
      <c r="H77" s="547"/>
      <c r="I77" s="542" t="s">
        <v>488</v>
      </c>
      <c r="J77" s="542"/>
      <c r="K77" s="542"/>
      <c r="L77" s="542"/>
      <c r="M77" s="515">
        <f>IF(Stamoplysninger!$B$26="Der er indgået lokalaftale omkring weekendtimer(Kræver aftale med TR/FSL). Weekendtillæg udbetales.",M67,0)</f>
        <v>0</v>
      </c>
      <c r="N77" s="515">
        <f>IF(Stamoplysninger!$B$26="Der er indgået lokalaftale omkring weekendtimer(Kræver aftale med TR/FSL). Weekendtillæg udbetales.",O69,0)</f>
        <v>0</v>
      </c>
      <c r="Y77"/>
      <c r="Z77" s="1"/>
      <c r="AX77" s="1"/>
      <c r="BI77" s="253"/>
      <c r="BJ77" s="253"/>
      <c r="CY77"/>
      <c r="CZ77"/>
    </row>
    <row r="78" spans="1:109" hidden="1">
      <c r="A78" s="547"/>
      <c r="B78" s="547"/>
      <c r="C78" s="547"/>
      <c r="D78" s="547"/>
      <c r="E78" s="547"/>
      <c r="F78" s="547" t="s">
        <v>202</v>
      </c>
      <c r="G78" s="547">
        <f>COUNTIFS($B$9:$B$38,"to",[0]!Juni,"Skema 3")</f>
        <v>0</v>
      </c>
      <c r="H78" s="547"/>
      <c r="I78" s="542" t="s">
        <v>336</v>
      </c>
      <c r="J78" s="542"/>
      <c r="K78" s="542"/>
      <c r="L78" s="542"/>
      <c r="M78" s="517">
        <f>IF(Stamoplysninger!$B$26="Der er indgået lokalaftale omkring weekendtillæg(Kræver aftale med TR/FSL). Weekendtimerne afspadseres.",M67,0)</f>
        <v>0</v>
      </c>
      <c r="N78" s="517">
        <f>IF(Stamoplysninger!$B$26="Der er indgået lokalaftale omkring weekendtillæg(Kræver aftale med TR/FSL). Weekendtimerne afspadseres.",N67,0)</f>
        <v>0</v>
      </c>
      <c r="Y78"/>
      <c r="Z78"/>
      <c r="AO78" s="1"/>
      <c r="BL78" s="1"/>
      <c r="BW78" s="253"/>
      <c r="BX78" s="253"/>
      <c r="CY78"/>
      <c r="CZ78"/>
    </row>
    <row r="79" spans="1:109" hidden="1">
      <c r="A79" s="547"/>
      <c r="B79" s="547"/>
      <c r="C79" s="547"/>
      <c r="D79" s="547"/>
      <c r="E79" s="547"/>
      <c r="F79" s="547" t="s">
        <v>203</v>
      </c>
      <c r="G79" s="547">
        <f>COUNTIFS($B$9:$B$38,"fr",[0]!Juni,"Skema 3")</f>
        <v>0</v>
      </c>
      <c r="H79" s="547">
        <v>1</v>
      </c>
      <c r="I79" s="542" t="s">
        <v>337</v>
      </c>
      <c r="J79" s="542"/>
      <c r="K79" s="542"/>
      <c r="L79" s="542"/>
      <c r="M79" s="517">
        <f>IF(Stamoplysninger!$B$26="Der er indgået lokalaftale omkring weekendtillæg(Kræver aftale med TR/FSL). Weekendtimerne udbetales.",M67,0)</f>
        <v>0</v>
      </c>
      <c r="N79" s="517">
        <f>IF(Stamoplysninger!$B$26="Der er indgået lokalaftale omkring weekendtillæg(Kræver aftale med TR/FSL). Weekendtimerne udbetales.",N67,0)</f>
        <v>0</v>
      </c>
      <c r="Y79"/>
      <c r="Z79"/>
      <c r="AO79" s="1"/>
      <c r="BL79" s="1"/>
      <c r="BW79" s="253"/>
      <c r="BX79" s="253"/>
      <c r="CY79"/>
      <c r="CZ79"/>
    </row>
    <row r="80" spans="1:109" hidden="1">
      <c r="A80" s="547" t="s">
        <v>298</v>
      </c>
      <c r="B80" s="547"/>
      <c r="C80" s="547"/>
      <c r="D80" s="547"/>
      <c r="E80" s="547"/>
      <c r="F80" s="547"/>
      <c r="G80" s="547"/>
      <c r="H80" s="547">
        <v>2</v>
      </c>
      <c r="I80" s="542" t="s">
        <v>489</v>
      </c>
      <c r="J80" s="542"/>
      <c r="K80" s="542"/>
      <c r="L80" s="542"/>
      <c r="M80" s="517">
        <f>IF(Stamoplysninger!$B$26="Der er indgået lokalaftale omkring weekendtillæg(Kræver aftale med TR/FSL). Weekendtimerne afspadseres.",M67,0)</f>
        <v>0</v>
      </c>
      <c r="N80" s="517">
        <f>IF(Stamoplysninger!$B$26="Der er indgået lokalaftale omkring weekendtillæg(Kræver aftale med TR/FSL). Weekendtimerne afspadseres.",N67,0)</f>
        <v>0</v>
      </c>
      <c r="Y80"/>
      <c r="Z80"/>
      <c r="AO80" s="1"/>
      <c r="BL80" s="1"/>
      <c r="BW80" s="253"/>
      <c r="BX80" s="253"/>
      <c r="CY80"/>
      <c r="CZ80"/>
    </row>
    <row r="81" spans="1:111" hidden="1">
      <c r="A81" s="547">
        <f>COUNTIF(C9:C10,"Skema 1")+COUNTIF(C9:C10,"Skema 2")+COUNTIF(C9:C10,"Skema 3")+COUNTIF(C9:C10,"Skema 4")+COUNTIF(C9:C10,"Fagdag")+COUNTIF(C9:C10,"Emnedag")+COUNTIF(C9:C10,"Lejrskole")+COUNTIF(C9:C10,"Ekskursion")+COUNTIF(C9:C10,"Pæd.dag")</f>
        <v>0</v>
      </c>
      <c r="B81" s="547"/>
      <c r="C81" s="547"/>
      <c r="D81" s="547"/>
      <c r="E81" s="547"/>
      <c r="F81" s="547" t="s">
        <v>204</v>
      </c>
      <c r="G81" s="547">
        <f>COUNTIFS($B$9:$B$38,"ma",[0]!Juni,"Skema 4")</f>
        <v>0</v>
      </c>
      <c r="H81" s="547"/>
      <c r="I81" s="542" t="s">
        <v>490</v>
      </c>
      <c r="J81" s="542"/>
      <c r="K81" s="542"/>
      <c r="L81" s="542"/>
      <c r="M81" s="517">
        <f>IF(Stamoplysninger!$B$26="Der er indgået lokalaftale omkring weekendtillæg(Kræver aftale med TR/FSL). Weekendtimerne udbetales.",M67,0)</f>
        <v>0</v>
      </c>
      <c r="N81" s="517">
        <f>IF(Stamoplysninger!$B$26="Der er indgået lokalaftale omkring weekendtillæg(Kræver aftale med TR/FSL). Weekendtimerne udbetales.",N67,0)</f>
        <v>0</v>
      </c>
      <c r="Y81"/>
      <c r="Z81"/>
      <c r="AO81" s="1"/>
      <c r="BL81" s="1"/>
      <c r="BW81" s="253"/>
      <c r="BX81" s="253"/>
      <c r="CY81"/>
      <c r="CZ81"/>
    </row>
    <row r="82" spans="1:111" hidden="1">
      <c r="A82" s="547">
        <f>COUNTIF(C16:C17,"Skema 1")+COUNTIF(C16:C17,"Skema 2")+COUNTIF(C16:C17,"Skema 3")+COUNTIF(C16:C17,"Skema 4")+COUNTIF(C16:C17,"Fagdag")+COUNTIF(C16:C17,"Emnedag")+COUNTIF(C16:C17,"Lejrskole")+COUNTIF(C16:C17,"Ekskursion")+COUNTIF(C16:C17,"Pæd.dag")</f>
        <v>0</v>
      </c>
      <c r="B82" s="547"/>
      <c r="C82" s="547"/>
      <c r="D82" s="547"/>
      <c r="E82" s="547"/>
      <c r="F82" s="547" t="s">
        <v>205</v>
      </c>
      <c r="G82" s="547">
        <f>COUNTIFS($B$9:$B$38,"ti",[0]!Juni,"Skema 4")</f>
        <v>0</v>
      </c>
      <c r="H82" s="547"/>
      <c r="I82" s="122" t="s">
        <v>486</v>
      </c>
      <c r="M82" s="463">
        <f>IF(Stamoplysninger!$B$26="Der er indgået lokalaftale omkring weekendtimer og weekendtillæg.(Kræver aftale med TR/FSL).",M67,0)</f>
        <v>0</v>
      </c>
      <c r="N82" s="463"/>
      <c r="Y82"/>
      <c r="Z82"/>
      <c r="AO82" s="1"/>
      <c r="BL82" s="1"/>
      <c r="BW82" s="253"/>
      <c r="BX82" s="253"/>
      <c r="CY82"/>
      <c r="CZ82"/>
    </row>
    <row r="83" spans="1:111" hidden="1">
      <c r="A83" s="547">
        <f>COUNTIF(C23:C24,"Skema 1")+COUNTIF(C23:C24,"Skema 2")+COUNTIF(C23:C24,"Skema 3")+COUNTIF(C23:C24,"Skema 4")+COUNTIF(C23:C24,"Fagdag")+COUNTIF(C23:C24,"Emnedag")+COUNTIF(C23:C24,"Lejrskole")+COUNTIF(C23:C24,"Ekskursion")+COUNTIF(C23:C24,"Pæd.dag")</f>
        <v>0</v>
      </c>
      <c r="B83" s="547"/>
      <c r="C83" s="547"/>
      <c r="D83" s="547"/>
      <c r="E83" s="547"/>
      <c r="F83" s="547" t="s">
        <v>206</v>
      </c>
      <c r="G83" s="547">
        <f>COUNTIFS($B$9:$B$38,"on",[0]!Juni,"Skema 4")</f>
        <v>0</v>
      </c>
      <c r="H83" s="547"/>
      <c r="I83" s="122"/>
      <c r="Y83"/>
      <c r="Z83"/>
      <c r="AO83" s="1"/>
      <c r="BL83" s="1"/>
      <c r="BW83" s="253"/>
      <c r="BX83" s="253"/>
      <c r="CY83"/>
      <c r="CZ83"/>
    </row>
    <row r="84" spans="1:111" hidden="1">
      <c r="A84" s="547">
        <f>COUNTIF(C30:C31,"Skema 1")+COUNTIF(C30:C31,"Skema 2")+COUNTIF(C30:C31,"Skema 3")+COUNTIF(C30:C31,"Skema 4")+COUNTIF(C30:C31,"Fagdag")+COUNTIF(C30:C31,"Emnedag")+COUNTIF(C30:C31,"Lejrskole")+COUNTIF(C30:C31,"Ekskursion")+COUNTIF(C30:C31,"Pæd.dag")</f>
        <v>0</v>
      </c>
      <c r="B84" s="547"/>
      <c r="C84" s="547"/>
      <c r="D84" s="547"/>
      <c r="E84" s="547"/>
      <c r="F84" s="547" t="s">
        <v>207</v>
      </c>
      <c r="G84" s="547">
        <f>COUNTIFS($B$9:$B$38,"to",[0]!Juni,"Skema 4")</f>
        <v>0</v>
      </c>
      <c r="H84" s="547"/>
      <c r="I84" s="122"/>
      <c r="Y84"/>
      <c r="Z84"/>
      <c r="AO84" s="1">
        <f>SUM(N84:AN84)</f>
        <v>0</v>
      </c>
      <c r="BL84" s="1">
        <f>SUM(AI84:BK84)</f>
        <v>0</v>
      </c>
      <c r="BW84" s="253"/>
      <c r="BX84" s="253"/>
      <c r="CY84"/>
      <c r="CZ84"/>
    </row>
    <row r="85" spans="1:111" hidden="1">
      <c r="A85" s="547">
        <f>COUNTIF(C37:C38,"Skema 1")+COUNTIF(C37:C38,"Skema 2")+COUNTIF(C37:C38,"Skema 3")+COUNTIF(C37:C38,"Skema 4")+COUNTIF(C37:C38,"Fagdag")+COUNTIF(C37:C38,"Emnedag")+COUNTIF(C37:C38,"Lejrskole")+COUNTIF(C37:C38,"Ekskursion")+COUNTIF(C37:C38,"Pæd.dag")</f>
        <v>0</v>
      </c>
      <c r="B85" s="547"/>
      <c r="C85" s="547"/>
      <c r="D85" s="547"/>
      <c r="E85" s="547"/>
      <c r="F85" s="547" t="s">
        <v>208</v>
      </c>
      <c r="G85" s="547">
        <f>COUNTIFS($B$9:$B$38,"fr",[0]!Juni,"Skema 4")</f>
        <v>0</v>
      </c>
      <c r="H85" s="547"/>
      <c r="Y85"/>
      <c r="Z85"/>
      <c r="AO85" s="1">
        <f>SUM(N85:AN85)</f>
        <v>0</v>
      </c>
      <c r="BL85" s="1">
        <f>SUM(AI85:BK85)</f>
        <v>0</v>
      </c>
      <c r="BW85" s="253"/>
      <c r="BX85" s="253"/>
      <c r="CY85"/>
      <c r="CZ85"/>
    </row>
    <row r="86" spans="1:111" hidden="1">
      <c r="A86" s="547">
        <f>SUM(A81:A85)</f>
        <v>0</v>
      </c>
      <c r="B86" s="547"/>
      <c r="C86" s="547"/>
      <c r="D86" s="547"/>
      <c r="E86" s="547"/>
      <c r="F86" s="547"/>
      <c r="G86" s="555">
        <f>SUM(G63:G85)</f>
        <v>20</v>
      </c>
      <c r="H86" s="552"/>
      <c r="Y86"/>
      <c r="Z86"/>
      <c r="AO86" s="1">
        <f>SUM(N86:AN86)</f>
        <v>0</v>
      </c>
      <c r="BL86" s="1">
        <f>SUM(AI86:BK86)</f>
        <v>0</v>
      </c>
      <c r="BW86" s="253"/>
      <c r="BX86" s="253"/>
      <c r="CY86"/>
      <c r="CZ86"/>
    </row>
    <row r="87" spans="1:111" hidden="1">
      <c r="A87" s="552"/>
      <c r="B87" s="552"/>
      <c r="C87" s="552"/>
      <c r="D87" s="552"/>
      <c r="E87" s="547"/>
      <c r="F87" s="547"/>
      <c r="G87" s="547"/>
      <c r="H87" s="552"/>
      <c r="Y87"/>
      <c r="Z87"/>
      <c r="AO87" s="1">
        <f>SUM(N87:AN87)</f>
        <v>0</v>
      </c>
      <c r="BL87" s="1">
        <f>SUM(AI87:BK87)</f>
        <v>0</v>
      </c>
      <c r="BW87" s="253"/>
      <c r="BX87" s="253"/>
      <c r="CY87"/>
      <c r="CZ87"/>
    </row>
    <row r="88" spans="1:111">
      <c r="A88" s="552"/>
      <c r="B88" s="552"/>
      <c r="C88" s="552"/>
      <c r="D88" s="552"/>
      <c r="E88" s="547"/>
      <c r="F88" s="547"/>
      <c r="G88" s="547"/>
      <c r="H88" s="552"/>
      <c r="Y88"/>
      <c r="Z88"/>
      <c r="BW88" s="253"/>
      <c r="BX88" s="253"/>
      <c r="CY88"/>
      <c r="CZ88"/>
    </row>
    <row r="89" spans="1:111">
      <c r="A89" s="552"/>
      <c r="B89" s="552"/>
      <c r="C89" s="552"/>
      <c r="D89" s="552"/>
      <c r="E89" s="547"/>
      <c r="F89" s="547"/>
      <c r="G89" s="547"/>
      <c r="H89" s="552"/>
      <c r="I89" s="477"/>
      <c r="J89" s="477"/>
      <c r="K89" s="477"/>
      <c r="L89" s="477"/>
      <c r="Y89"/>
      <c r="Z89"/>
      <c r="BW89" s="253"/>
      <c r="BX89" s="253"/>
      <c r="CY89"/>
      <c r="CZ89"/>
    </row>
    <row r="90" spans="1:111">
      <c r="A90" s="552"/>
      <c r="B90" s="552"/>
      <c r="C90" s="552"/>
      <c r="D90" s="552"/>
      <c r="E90" s="547"/>
      <c r="F90" s="547"/>
      <c r="G90" s="547"/>
      <c r="H90" s="552"/>
      <c r="I90" s="477"/>
      <c r="J90" s="477"/>
      <c r="K90" s="477"/>
      <c r="L90" s="477"/>
      <c r="Y90"/>
      <c r="Z90"/>
      <c r="BW90" s="253"/>
      <c r="BX90" s="253"/>
      <c r="CY90"/>
      <c r="CZ90"/>
    </row>
    <row r="91" spans="1:111">
      <c r="A91" s="552"/>
      <c r="B91" s="552"/>
      <c r="C91" s="552"/>
      <c r="D91" s="552"/>
      <c r="E91" s="547"/>
      <c r="F91" s="547"/>
      <c r="G91" s="547"/>
      <c r="H91" s="552"/>
      <c r="I91" s="477"/>
      <c r="J91" s="477"/>
      <c r="K91" s="477"/>
      <c r="L91" s="477"/>
      <c r="Y91"/>
      <c r="Z91"/>
      <c r="BW91" s="253"/>
      <c r="BX91" s="253"/>
      <c r="CY91"/>
      <c r="CZ91"/>
    </row>
    <row r="92" spans="1:111">
      <c r="A92" s="552"/>
      <c r="B92" s="552"/>
      <c r="C92" s="552"/>
      <c r="D92" s="552"/>
      <c r="E92" s="547"/>
      <c r="F92" s="547"/>
      <c r="G92" s="547"/>
      <c r="H92" s="552"/>
      <c r="I92" s="477"/>
      <c r="J92" s="477"/>
      <c r="K92" s="477"/>
      <c r="L92" s="477"/>
      <c r="Y92"/>
      <c r="Z92"/>
      <c r="BW92" s="253"/>
      <c r="BX92" s="253"/>
      <c r="CY92"/>
      <c r="CZ92"/>
    </row>
    <row r="93" spans="1:111">
      <c r="A93" s="477"/>
      <c r="B93" s="477"/>
      <c r="C93" s="477"/>
      <c r="D93" s="477"/>
      <c r="E93" s="122"/>
      <c r="F93" s="122"/>
      <c r="G93" s="122"/>
      <c r="H93" s="477"/>
      <c r="I93" s="477"/>
      <c r="J93" s="477"/>
      <c r="K93" s="477"/>
      <c r="L93" s="477"/>
      <c r="Y93"/>
      <c r="Z93"/>
      <c r="AD93" s="4"/>
      <c r="AE93" s="235"/>
      <c r="AF93" s="235"/>
      <c r="AG93" s="235"/>
      <c r="AH93" s="235"/>
      <c r="CY93"/>
      <c r="CZ93"/>
      <c r="DF93" s="253"/>
      <c r="DG93" s="253"/>
    </row>
    <row r="94" spans="1:111">
      <c r="A94" s="477"/>
      <c r="B94" s="477"/>
      <c r="C94" s="477"/>
      <c r="D94" s="477"/>
      <c r="E94" s="122"/>
      <c r="F94" s="122"/>
      <c r="G94" s="122"/>
      <c r="H94" s="477"/>
      <c r="I94" s="477"/>
      <c r="J94" s="477"/>
      <c r="K94" s="477"/>
      <c r="L94" s="477"/>
      <c r="Y94"/>
      <c r="Z94"/>
      <c r="AD94" s="4"/>
      <c r="AE94" s="235"/>
      <c r="AF94" s="235"/>
      <c r="AG94" s="235"/>
      <c r="AH94" s="235"/>
      <c r="CY94"/>
      <c r="CZ94"/>
      <c r="DF94" s="253"/>
      <c r="DG94" s="253"/>
    </row>
    <row r="95" spans="1:111">
      <c r="A95" s="477"/>
      <c r="B95" s="477"/>
      <c r="C95" s="477"/>
      <c r="D95" s="477"/>
      <c r="E95" s="122"/>
      <c r="F95" s="122"/>
      <c r="G95" s="122"/>
      <c r="H95" s="477"/>
      <c r="I95" s="477"/>
      <c r="J95" s="477"/>
      <c r="K95" s="477"/>
      <c r="L95" s="477"/>
    </row>
    <row r="96" spans="1:111">
      <c r="A96" s="477"/>
      <c r="B96" s="477"/>
      <c r="C96" s="477"/>
      <c r="D96" s="477"/>
      <c r="E96" s="122"/>
      <c r="F96" s="122"/>
      <c r="G96" s="122"/>
      <c r="H96" s="477"/>
      <c r="I96" s="477"/>
      <c r="J96" s="477"/>
      <c r="K96" s="477"/>
      <c r="L96" s="477"/>
    </row>
    <row r="97" spans="1:12">
      <c r="A97" s="477"/>
      <c r="B97" s="477"/>
      <c r="C97" s="477"/>
      <c r="D97" s="477"/>
      <c r="E97" s="477"/>
      <c r="F97" s="477"/>
      <c r="G97" s="477"/>
      <c r="H97" s="477"/>
      <c r="I97" s="477"/>
      <c r="J97" s="477"/>
      <c r="K97" s="477"/>
      <c r="L97" s="477"/>
    </row>
  </sheetData>
  <sheetProtection sheet="1" objects="1" scenarios="1"/>
  <mergeCells count="141">
    <mergeCell ref="I53:K53"/>
    <mergeCell ref="A54:G54"/>
    <mergeCell ref="I54:K54"/>
    <mergeCell ref="S5:X5"/>
    <mergeCell ref="S6:X6"/>
    <mergeCell ref="S8:U8"/>
    <mergeCell ref="V8:X8"/>
    <mergeCell ref="E17:G17"/>
    <mergeCell ref="E18:G18"/>
    <mergeCell ref="E19:G19"/>
    <mergeCell ref="E20:G20"/>
    <mergeCell ref="E21:G21"/>
    <mergeCell ref="E22:G22"/>
    <mergeCell ref="E11:G11"/>
    <mergeCell ref="E12:G12"/>
    <mergeCell ref="E13:G13"/>
    <mergeCell ref="E14:G14"/>
    <mergeCell ref="E15:G15"/>
    <mergeCell ref="E16:G16"/>
    <mergeCell ref="E29:G29"/>
    <mergeCell ref="E30:G30"/>
    <mergeCell ref="E31:G31"/>
    <mergeCell ref="E33:G33"/>
    <mergeCell ref="E34:G34"/>
    <mergeCell ref="A3:X3"/>
    <mergeCell ref="N6:N7"/>
    <mergeCell ref="O6:O7"/>
    <mergeCell ref="B2:E2"/>
    <mergeCell ref="E4:G4"/>
    <mergeCell ref="K4:L4"/>
    <mergeCell ref="A5:R5"/>
    <mergeCell ref="A4:D4"/>
    <mergeCell ref="I8:J8"/>
    <mergeCell ref="K8:R8"/>
    <mergeCell ref="I6:I7"/>
    <mergeCell ref="J6:J7"/>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P6:P7"/>
    <mergeCell ref="Q6:Q7"/>
    <mergeCell ref="R6:R7"/>
    <mergeCell ref="AA6:AE6"/>
    <mergeCell ref="AG6:AK6"/>
    <mergeCell ref="E6:G8"/>
    <mergeCell ref="K6:L6"/>
    <mergeCell ref="E35:G35"/>
    <mergeCell ref="E23:G23"/>
    <mergeCell ref="E24:G24"/>
    <mergeCell ref="E25:G25"/>
    <mergeCell ref="E26:G26"/>
    <mergeCell ref="E27:G27"/>
    <mergeCell ref="E28:G28"/>
    <mergeCell ref="E32:G32"/>
    <mergeCell ref="A42:G42"/>
    <mergeCell ref="I42:K42"/>
    <mergeCell ref="A43:G43"/>
    <mergeCell ref="I43:K43"/>
    <mergeCell ref="M43:U43"/>
    <mergeCell ref="V43:X43"/>
    <mergeCell ref="A46:G46"/>
    <mergeCell ref="I46:K46"/>
    <mergeCell ref="E36:G36"/>
    <mergeCell ref="E37:G37"/>
    <mergeCell ref="E38:G38"/>
    <mergeCell ref="A39:I39"/>
    <mergeCell ref="A41:G41"/>
    <mergeCell ref="I41:K41"/>
    <mergeCell ref="M41:X41"/>
    <mergeCell ref="M42:U42"/>
    <mergeCell ref="V42:X42"/>
    <mergeCell ref="I44:K44"/>
    <mergeCell ref="A45:G45"/>
    <mergeCell ref="I45:K45"/>
    <mergeCell ref="M44:U44"/>
    <mergeCell ref="A66:C66"/>
    <mergeCell ref="A64:C64"/>
    <mergeCell ref="A49:H49"/>
    <mergeCell ref="I49:K49"/>
    <mergeCell ref="I50:K50"/>
    <mergeCell ref="M49:U49"/>
    <mergeCell ref="V49:X49"/>
    <mergeCell ref="M50:U50"/>
    <mergeCell ref="V50:X50"/>
    <mergeCell ref="A65:C65"/>
    <mergeCell ref="M51:U51"/>
    <mergeCell ref="V51:X51"/>
    <mergeCell ref="A52:G53"/>
    <mergeCell ref="I52:K52"/>
    <mergeCell ref="M52:U52"/>
    <mergeCell ref="V52:X52"/>
    <mergeCell ref="A55:K55"/>
    <mergeCell ref="A56:B56"/>
    <mergeCell ref="C56:D56"/>
    <mergeCell ref="E56:G56"/>
    <mergeCell ref="H56:K56"/>
    <mergeCell ref="A57:B57"/>
    <mergeCell ref="C57:D57"/>
    <mergeCell ref="E57:G57"/>
    <mergeCell ref="A48:H48"/>
    <mergeCell ref="I48:K48"/>
    <mergeCell ref="A44:G44"/>
    <mergeCell ref="A47:H47"/>
    <mergeCell ref="I47:K47"/>
    <mergeCell ref="V44:X44"/>
    <mergeCell ref="M45:U45"/>
    <mergeCell ref="V45:X45"/>
    <mergeCell ref="M46:X46"/>
    <mergeCell ref="M47:U47"/>
    <mergeCell ref="V47:X47"/>
    <mergeCell ref="M48:U48"/>
    <mergeCell ref="V48:X48"/>
    <mergeCell ref="A60:B60"/>
    <mergeCell ref="C60:D60"/>
    <mergeCell ref="E60:G60"/>
    <mergeCell ref="I60:K60"/>
    <mergeCell ref="A61:G61"/>
    <mergeCell ref="I61:K61"/>
    <mergeCell ref="I57:K57"/>
    <mergeCell ref="A58:B58"/>
    <mergeCell ref="C58:D58"/>
    <mergeCell ref="E58:G58"/>
    <mergeCell ref="I58:K58"/>
    <mergeCell ref="A59:B59"/>
    <mergeCell ref="C59:D59"/>
    <mergeCell ref="E59:G59"/>
    <mergeCell ref="I59:K59"/>
  </mergeCells>
  <phoneticPr fontId="5" type="noConversion"/>
  <conditionalFormatting sqref="A9:H31 A32:E32 H32 A33:H38">
    <cfRule type="expression" dxfId="479" priority="41">
      <formula>OR($C9="ekskursion")</formula>
    </cfRule>
    <cfRule type="expression" dxfId="478" priority="47" stopIfTrue="1">
      <formula>OR($C9="Orlov")</formula>
    </cfRule>
    <cfRule type="expression" dxfId="477" priority="46">
      <formula>OR($C9="weekend")</formula>
    </cfRule>
    <cfRule type="expression" dxfId="476" priority="45">
      <formula>OR($C9="feriedag")</formula>
    </cfRule>
    <cfRule type="expression" dxfId="475" priority="44">
      <formula>OR($C9="fagdag")</formula>
    </cfRule>
    <cfRule type="expression" dxfId="474" priority="43">
      <formula>OR($C9="emnedag")</formula>
    </cfRule>
    <cfRule type="expression" dxfId="473" priority="42">
      <formula>OR($C9="lejrskole")</formula>
    </cfRule>
    <cfRule type="expression" dxfId="472" priority="40">
      <formula>OR($C9="SH-dag")</formula>
    </cfRule>
    <cfRule type="expression" dxfId="471" priority="39">
      <formula>OR($C9="nul-dag")</formula>
    </cfRule>
    <cfRule type="expression" dxfId="470" priority="38">
      <formula>OR($C9="pæd.dag")</formula>
    </cfRule>
    <cfRule type="expression" dxfId="469" priority="37">
      <formula>OR($C9="Ikke relevant")</formula>
    </cfRule>
    <cfRule type="expression" dxfId="468" priority="33">
      <formula>OR($C9="Skema 1")</formula>
    </cfRule>
    <cfRule type="expression" dxfId="467" priority="34">
      <formula>OR($C9="skema 2")</formula>
    </cfRule>
    <cfRule type="expression" dxfId="466" priority="35">
      <formula>OR($C9="Skema 3")</formula>
    </cfRule>
    <cfRule type="expression" dxfId="465" priority="36">
      <formula>OR($C9="Skema 4")</formula>
    </cfRule>
  </conditionalFormatting>
  <conditionalFormatting sqref="E20">
    <cfRule type="expression" dxfId="464" priority="49">
      <formula>OR($D19="nul-dag")</formula>
    </cfRule>
    <cfRule type="expression" dxfId="463" priority="50">
      <formula>OR($D19="SH-dag")</formula>
    </cfRule>
    <cfRule type="expression" dxfId="462" priority="51">
      <formula>OR($D19="ekskursion")</formula>
    </cfRule>
    <cfRule type="expression" dxfId="461" priority="52">
      <formula>OR($D19="lejrskole")</formula>
    </cfRule>
    <cfRule type="expression" dxfId="460" priority="48">
      <formula>OR($D19="pæd.dag")</formula>
    </cfRule>
    <cfRule type="expression" dxfId="459" priority="53">
      <formula>OR($D19="emnedag")</formula>
    </cfRule>
    <cfRule type="expression" dxfId="458" priority="54">
      <formula>OR($D19="fagdag")</formula>
    </cfRule>
    <cfRule type="expression" dxfId="457" priority="55">
      <formula>OR($D19="feriedag")</formula>
    </cfRule>
    <cfRule type="expression" dxfId="456" priority="56">
      <formula>OR($D19="weekend")</formula>
    </cfRule>
    <cfRule type="expression" dxfId="455" priority="57" stopIfTrue="1">
      <formula>OR($D19="skoledag")</formula>
    </cfRule>
    <cfRule type="expression" dxfId="454" priority="58">
      <formula>OR($D19="Ikke relevant")</formula>
    </cfRule>
  </conditionalFormatting>
  <conditionalFormatting sqref="H57:H60">
    <cfRule type="expression" dxfId="453" priority="1">
      <formula>OR($A57&gt;0,)</formula>
    </cfRule>
  </conditionalFormatting>
  <conditionalFormatting sqref="I57:I60">
    <cfRule type="expression" dxfId="452" priority="2">
      <formula>OR($C57&gt;0,)</formula>
    </cfRule>
  </conditionalFormatting>
  <conditionalFormatting sqref="K9:K38">
    <cfRule type="expression" dxfId="451" priority="30">
      <formula>OR($C9="Pæd.dag",)</formula>
    </cfRule>
  </conditionalFormatting>
  <conditionalFormatting sqref="K9:L38">
    <cfRule type="expression" dxfId="450" priority="32">
      <formula>OR($C9="Ekskursion",)</formula>
    </cfRule>
    <cfRule type="expression" dxfId="449" priority="31">
      <formula>OR($C9="Lejrskole",)</formula>
    </cfRule>
  </conditionalFormatting>
  <conditionalFormatting sqref="K9:M38">
    <cfRule type="expression" dxfId="448" priority="29">
      <formula>OR($C9="emnedag",)</formula>
    </cfRule>
    <cfRule type="expression" dxfId="447" priority="28">
      <formula>OR($C9="fagdag",)</formula>
    </cfRule>
  </conditionalFormatting>
  <conditionalFormatting sqref="R9:R38">
    <cfRule type="expression" dxfId="446" priority="59">
      <formula>OR($H9&gt;"0",)</formula>
    </cfRule>
  </conditionalFormatting>
  <conditionalFormatting sqref="V9:V38">
    <cfRule type="expression" dxfId="445" priority="10">
      <formula>OR($S9="X",)</formula>
    </cfRule>
  </conditionalFormatting>
  <conditionalFormatting sqref="V48:X51">
    <cfRule type="expression" dxfId="444" priority="3">
      <formula>OR($M48&gt;0,)</formula>
    </cfRule>
  </conditionalFormatting>
  <conditionalFormatting sqref="W9:W38">
    <cfRule type="expression" dxfId="443" priority="8">
      <formula>OR($T9="X",)</formula>
    </cfRule>
  </conditionalFormatting>
  <conditionalFormatting sqref="X9:X38">
    <cfRule type="expression" dxfId="442" priority="9">
      <formula>OR($U9="X",)</formula>
    </cfRule>
  </conditionalFormatting>
  <dataValidations count="3">
    <dataValidation type="list" allowBlank="1" showInputMessage="1" showErrorMessage="1" sqref="S9:U38 A57:D60" xr:uid="{0038981B-4C30-8548-B059-56E8189389A0}">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3:I24 I9:I10 I16:I17 I30:I31 I37:I38" xr:uid="{413C748C-D24D-AB45-8FA5-951D034997C9}">
      <formula1>$W$1:$W$2</formula1>
    </dataValidation>
    <dataValidation type="list" allowBlank="1" showInputMessage="1" showErrorMessage="1" promptTitle="OBS:" prompt="Ved arrangementer med overnatning ydes istedet for ulempe- og weekendgodtgørelse på hhv. 25% og 50% faste tillæg pr. påbegyndt dag. " sqref="J9:J38" xr:uid="{7635A4E6-26AD-7048-BA8D-4B0932A8B31F}">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76F96C60-875D-774C-A772-9B7701DAD6A3}">
          <x14:formula1>
            <xm:f>August!$A$89:$A$103</xm:f>
          </x14:formula1>
          <xm:sqref>C9:C38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0453D-92EC-3442-AEAE-6ACA12A7E901}">
  <sheetPr>
    <tabColor theme="4" tint="-0.249977111117893"/>
    <pageSetUpPr fitToPage="1"/>
  </sheetPr>
  <dimension ref="A1:DN98"/>
  <sheetViews>
    <sheetView topLeftCell="A5" zoomScaleNormal="100" workbookViewId="0">
      <selection activeCell="E6" sqref="E6:G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4" width="11"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8" width="10.83203125" hidden="1" customWidth="1"/>
    <col min="119" max="123"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44"/>
      <c r="Y1" s="251"/>
      <c r="Z1" s="94"/>
      <c r="AB1" s="94"/>
      <c r="AC1" s="94"/>
      <c r="AH1" s="94"/>
      <c r="AI1" s="94"/>
      <c r="CX1" s="253"/>
      <c r="CZ1"/>
    </row>
    <row r="2" spans="1:118" ht="20">
      <c r="A2" s="96">
        <v>7</v>
      </c>
      <c r="B2" s="1009"/>
      <c r="C2" s="1009"/>
      <c r="D2" s="1009"/>
      <c r="E2" s="1009"/>
      <c r="F2" s="94"/>
      <c r="G2" s="94"/>
      <c r="H2" s="292"/>
      <c r="I2" s="291"/>
      <c r="J2" s="234"/>
      <c r="K2" s="234"/>
      <c r="L2" s="234"/>
      <c r="M2" s="234"/>
      <c r="N2" s="234"/>
      <c r="O2" s="234"/>
      <c r="P2" s="94"/>
      <c r="Q2" s="94"/>
      <c r="R2" s="94"/>
      <c r="S2" s="94"/>
      <c r="T2" s="94"/>
      <c r="U2" s="94"/>
      <c r="V2" s="94"/>
      <c r="W2" s="127" t="s">
        <v>31</v>
      </c>
      <c r="X2" s="127" t="s">
        <v>31</v>
      </c>
      <c r="Y2"/>
      <c r="Z2" s="94"/>
      <c r="AA2" s="94"/>
      <c r="AE2" s="94"/>
      <c r="AG2" s="94"/>
      <c r="CV2" s="253"/>
      <c r="CW2" s="253"/>
      <c r="CY2"/>
      <c r="CZ2"/>
    </row>
    <row r="3" spans="1:118">
      <c r="A3" s="1022" t="s">
        <v>316</v>
      </c>
      <c r="B3" s="1023"/>
      <c r="C3" s="1023"/>
      <c r="D3" s="1023"/>
      <c r="E3" s="1023"/>
      <c r="F3" s="1023"/>
      <c r="G3" s="1023"/>
      <c r="H3" s="1023"/>
      <c r="I3" s="1023"/>
      <c r="J3" s="1023"/>
      <c r="K3" s="1023"/>
      <c r="L3" s="1023"/>
      <c r="M3" s="1023"/>
      <c r="N3" s="1023"/>
      <c r="O3" s="1023"/>
      <c r="P3" s="1023"/>
      <c r="Q3" s="1023"/>
      <c r="R3" s="1023"/>
      <c r="S3" s="1023"/>
      <c r="T3" s="1023"/>
      <c r="U3" s="1023"/>
      <c r="V3" s="1023"/>
      <c r="W3" s="1023"/>
      <c r="X3" s="1024"/>
      <c r="Y3" s="94"/>
      <c r="Z3"/>
      <c r="AC3" s="94"/>
      <c r="AD3" s="94"/>
      <c r="AF3" s="94"/>
      <c r="CT3" s="253"/>
      <c r="CU3" s="253"/>
      <c r="CY3"/>
      <c r="CZ3"/>
    </row>
    <row r="4" spans="1:118" ht="254" customHeight="1" thickBot="1">
      <c r="A4" s="921" t="s">
        <v>463</v>
      </c>
      <c r="B4" s="922"/>
      <c r="C4" s="922"/>
      <c r="D4" s="922"/>
      <c r="E4" s="923" t="s">
        <v>317</v>
      </c>
      <c r="F4" s="923"/>
      <c r="G4" s="923"/>
      <c r="H4" s="293" t="s">
        <v>442</v>
      </c>
      <c r="I4" s="468" t="s">
        <v>511</v>
      </c>
      <c r="J4" s="468" t="s">
        <v>512</v>
      </c>
      <c r="K4" s="933" t="s">
        <v>579</v>
      </c>
      <c r="L4" s="933"/>
      <c r="M4" s="533" t="s">
        <v>499</v>
      </c>
      <c r="N4" s="533" t="s">
        <v>464</v>
      </c>
      <c r="O4" s="533" t="s">
        <v>465</v>
      </c>
      <c r="P4" s="534" t="s">
        <v>500</v>
      </c>
      <c r="Q4" s="534" t="s">
        <v>315</v>
      </c>
      <c r="R4" s="534" t="s">
        <v>466</v>
      </c>
      <c r="S4" s="535" t="s">
        <v>509</v>
      </c>
      <c r="T4" s="535" t="s">
        <v>467</v>
      </c>
      <c r="U4" s="535" t="s">
        <v>468</v>
      </c>
      <c r="V4" s="536" t="s">
        <v>501</v>
      </c>
      <c r="W4" s="536" t="s">
        <v>427</v>
      </c>
      <c r="X4" s="537" t="s">
        <v>426</v>
      </c>
      <c r="Y4" s="251"/>
      <c r="Z4" s="94"/>
      <c r="AB4" s="94"/>
      <c r="AC4" s="94"/>
      <c r="AH4" s="94"/>
      <c r="AI4" s="94"/>
      <c r="CX4" s="253"/>
      <c r="CZ4"/>
    </row>
    <row r="5" spans="1:118" ht="26" thickBot="1">
      <c r="A5" s="934" t="str">
        <f>""&amp;A7&amp;" måneds kalender for: "&amp;Stamoplysninger!E8&amp;". Måneden vedr. normperioden: "&amp;Stamoplysninger!E11&amp;" - "&amp;Stamoplysninger!G11&amp;"."</f>
        <v>Juli måneds kalender for: . Måneden vedr. normperioden:  - .</v>
      </c>
      <c r="B5" s="935"/>
      <c r="C5" s="935"/>
      <c r="D5" s="935"/>
      <c r="E5" s="935"/>
      <c r="F5" s="935"/>
      <c r="G5" s="935"/>
      <c r="H5" s="935"/>
      <c r="I5" s="935"/>
      <c r="J5" s="935"/>
      <c r="K5" s="935"/>
      <c r="L5" s="935"/>
      <c r="M5" s="935"/>
      <c r="N5" s="935"/>
      <c r="O5" s="935"/>
      <c r="P5" s="935"/>
      <c r="Q5" s="935"/>
      <c r="R5" s="935"/>
      <c r="S5" s="928" t="s">
        <v>312</v>
      </c>
      <c r="T5" s="929"/>
      <c r="U5" s="929"/>
      <c r="V5" s="929"/>
      <c r="W5" s="929"/>
      <c r="X5" s="930"/>
      <c r="Y5" s="251"/>
      <c r="Z5" s="94"/>
      <c r="AB5" s="94"/>
      <c r="AC5" s="94"/>
      <c r="AH5" s="94"/>
      <c r="AI5" s="94"/>
      <c r="CX5" s="253"/>
      <c r="CZ5"/>
    </row>
    <row r="6" spans="1:118" ht="47" customHeight="1">
      <c r="A6" s="346">
        <f>Januar!A6</f>
        <v>2024</v>
      </c>
      <c r="B6" s="246"/>
      <c r="C6" s="247"/>
      <c r="D6" s="248"/>
      <c r="E6" s="941" t="s">
        <v>516</v>
      </c>
      <c r="F6" s="942"/>
      <c r="G6" s="943"/>
      <c r="H6" s="343" t="s">
        <v>344</v>
      </c>
      <c r="I6" s="912" t="s">
        <v>510</v>
      </c>
      <c r="J6" s="939" t="s">
        <v>535</v>
      </c>
      <c r="K6" s="936" t="s">
        <v>309</v>
      </c>
      <c r="L6" s="937"/>
      <c r="M6" s="344" t="s">
        <v>310</v>
      </c>
      <c r="N6" s="912" t="s">
        <v>478</v>
      </c>
      <c r="O6" s="912" t="s">
        <v>314</v>
      </c>
      <c r="P6" s="912" t="s">
        <v>498</v>
      </c>
      <c r="Q6" s="912" t="s">
        <v>413</v>
      </c>
      <c r="R6" s="919" t="s">
        <v>580</v>
      </c>
      <c r="S6" s="913" t="s">
        <v>311</v>
      </c>
      <c r="T6" s="914"/>
      <c r="U6" s="914"/>
      <c r="V6" s="914"/>
      <c r="W6" s="914"/>
      <c r="X6" s="915"/>
      <c r="Y6" s="216"/>
      <c r="Z6" s="216"/>
      <c r="AA6" s="909" t="s">
        <v>264</v>
      </c>
      <c r="AB6" s="909"/>
      <c r="AC6" s="909"/>
      <c r="AD6" s="909"/>
      <c r="AE6" s="909"/>
      <c r="AF6" s="213"/>
      <c r="AG6" s="909" t="s">
        <v>225</v>
      </c>
      <c r="AH6" s="909"/>
      <c r="AI6" s="909"/>
      <c r="AJ6" s="909"/>
      <c r="AK6" s="909"/>
      <c r="AL6" s="909" t="s">
        <v>226</v>
      </c>
      <c r="AM6" s="909"/>
      <c r="AN6" s="909"/>
      <c r="AO6" s="909"/>
      <c r="AP6" s="909"/>
      <c r="AQ6" s="909" t="s">
        <v>227</v>
      </c>
      <c r="AR6" s="909"/>
      <c r="AS6" s="909"/>
      <c r="AT6" s="909"/>
      <c r="AU6" s="909"/>
      <c r="AV6" s="909" t="s">
        <v>228</v>
      </c>
      <c r="AW6" s="909"/>
      <c r="AX6" s="909"/>
      <c r="AY6" s="909"/>
      <c r="AZ6" s="909"/>
      <c r="BA6" s="314"/>
      <c r="BB6" s="213"/>
      <c r="BC6" s="909" t="s">
        <v>267</v>
      </c>
      <c r="BD6" s="909"/>
      <c r="BE6" s="909"/>
      <c r="BF6" s="909"/>
      <c r="BG6" s="909" t="s">
        <v>230</v>
      </c>
      <c r="BH6" s="909"/>
      <c r="BI6" s="909"/>
      <c r="BJ6" s="909"/>
      <c r="BK6" s="909"/>
      <c r="BL6" s="909" t="s">
        <v>231</v>
      </c>
      <c r="BM6" s="909"/>
      <c r="BN6" s="909"/>
      <c r="BO6" s="909"/>
      <c r="BP6" s="909"/>
      <c r="BQ6" s="909" t="s">
        <v>232</v>
      </c>
      <c r="BR6" s="909"/>
      <c r="BS6" s="909"/>
      <c r="BT6" s="909"/>
      <c r="BU6" s="909"/>
      <c r="BV6" s="909" t="s">
        <v>233</v>
      </c>
      <c r="BW6" s="909"/>
      <c r="BX6" s="909"/>
      <c r="BY6" s="909"/>
      <c r="BZ6" s="909"/>
      <c r="CD6" s="909" t="s">
        <v>268</v>
      </c>
      <c r="CE6" s="909"/>
      <c r="CF6" s="909"/>
      <c r="CG6" s="909"/>
      <c r="CH6" s="909"/>
      <c r="CI6" s="909" t="s">
        <v>270</v>
      </c>
      <c r="CJ6" s="909"/>
      <c r="CK6" s="909"/>
      <c r="CL6" s="909"/>
      <c r="CM6" s="909"/>
      <c r="CN6" s="909" t="s">
        <v>269</v>
      </c>
      <c r="CO6" s="909"/>
      <c r="CP6" s="909"/>
      <c r="CQ6" s="909"/>
      <c r="CR6" s="909"/>
      <c r="CS6" s="909" t="s">
        <v>271</v>
      </c>
      <c r="CT6" s="909"/>
      <c r="CU6" s="909"/>
      <c r="CV6" s="909"/>
      <c r="CW6" s="909"/>
      <c r="CX6" s="253"/>
      <c r="CZ6"/>
      <c r="DA6" s="682" t="s">
        <v>215</v>
      </c>
      <c r="DB6" s="682"/>
      <c r="DC6" s="682"/>
      <c r="DD6" s="682"/>
      <c r="DE6" s="682"/>
    </row>
    <row r="7" spans="1:118" ht="151" customHeight="1">
      <c r="A7" s="828" t="s">
        <v>292</v>
      </c>
      <c r="B7" s="829"/>
      <c r="C7" s="829"/>
      <c r="D7" s="830"/>
      <c r="E7" s="944"/>
      <c r="F7" s="945"/>
      <c r="G7" s="946"/>
      <c r="H7" s="910" t="s">
        <v>534</v>
      </c>
      <c r="I7" s="938"/>
      <c r="J7" s="940"/>
      <c r="K7" s="345" t="s">
        <v>581</v>
      </c>
      <c r="L7" s="345" t="s">
        <v>582</v>
      </c>
      <c r="M7" s="345" t="s">
        <v>583</v>
      </c>
      <c r="N7" s="911"/>
      <c r="O7" s="911"/>
      <c r="P7" s="911"/>
      <c r="Q7" s="911"/>
      <c r="R7" s="920"/>
      <c r="S7" s="539" t="s">
        <v>508</v>
      </c>
      <c r="T7" s="344" t="s">
        <v>313</v>
      </c>
      <c r="U7" s="344" t="s">
        <v>428</v>
      </c>
      <c r="V7" s="475" t="s">
        <v>470</v>
      </c>
      <c r="W7" s="475" t="s">
        <v>469</v>
      </c>
      <c r="X7" s="476" t="s">
        <v>425</v>
      </c>
      <c r="Y7" s="216" t="s">
        <v>282</v>
      </c>
      <c r="Z7" s="216" t="s">
        <v>283</v>
      </c>
      <c r="AA7" s="316" t="s">
        <v>214</v>
      </c>
      <c r="AB7" t="s">
        <v>137</v>
      </c>
      <c r="AC7" t="s">
        <v>140</v>
      </c>
      <c r="AD7" t="s">
        <v>139</v>
      </c>
      <c r="AE7" t="s">
        <v>138</v>
      </c>
      <c r="AF7" t="s">
        <v>444</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266</v>
      </c>
      <c r="BD7" t="s">
        <v>265</v>
      </c>
      <c r="BE7" t="s">
        <v>251</v>
      </c>
      <c r="BF7" t="s">
        <v>252</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254</v>
      </c>
      <c r="CC7" s="316" t="s">
        <v>255</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280</v>
      </c>
      <c r="CY7" s="253" t="s">
        <v>272</v>
      </c>
      <c r="CZ7" s="253" t="s">
        <v>273</v>
      </c>
      <c r="DA7" s="253" t="s">
        <v>274</v>
      </c>
      <c r="DB7" s="253" t="s">
        <v>275</v>
      </c>
      <c r="DC7" s="253" t="s">
        <v>276</v>
      </c>
      <c r="DD7" s="253" t="s">
        <v>277</v>
      </c>
      <c r="DE7" s="253" t="s">
        <v>278</v>
      </c>
      <c r="DF7" s="253" t="s">
        <v>279</v>
      </c>
      <c r="DG7" s="253"/>
    </row>
    <row r="8" spans="1:118" ht="20" customHeight="1">
      <c r="A8" s="831"/>
      <c r="B8" s="832"/>
      <c r="C8" s="832"/>
      <c r="D8" s="833"/>
      <c r="E8" s="947"/>
      <c r="F8" s="948"/>
      <c r="G8" s="949"/>
      <c r="H8" s="911"/>
      <c r="I8" s="931" t="s">
        <v>409</v>
      </c>
      <c r="J8" s="918"/>
      <c r="K8" s="931" t="s">
        <v>346</v>
      </c>
      <c r="L8" s="917"/>
      <c r="M8" s="917"/>
      <c r="N8" s="917"/>
      <c r="O8" s="917"/>
      <c r="P8" s="917"/>
      <c r="Q8" s="917"/>
      <c r="R8" s="917"/>
      <c r="S8" s="916" t="s">
        <v>409</v>
      </c>
      <c r="T8" s="917"/>
      <c r="U8" s="918"/>
      <c r="V8" s="931" t="s">
        <v>410</v>
      </c>
      <c r="W8" s="917"/>
      <c r="X8" s="932"/>
      <c r="Y8" s="216"/>
      <c r="Z8" s="216"/>
      <c r="AA8" s="316"/>
      <c r="BB8" s="232"/>
      <c r="CA8" s="116"/>
      <c r="CB8" s="238"/>
      <c r="CC8" s="316"/>
      <c r="CX8" s="253"/>
      <c r="DA8" s="253"/>
      <c r="DB8" s="253"/>
      <c r="DC8" s="253"/>
      <c r="DD8" s="253"/>
      <c r="DE8" s="253"/>
      <c r="DF8" s="253"/>
      <c r="DG8" s="253"/>
      <c r="DH8" t="s">
        <v>543</v>
      </c>
      <c r="DI8" t="s">
        <v>544</v>
      </c>
      <c r="DJ8" t="s">
        <v>545</v>
      </c>
    </row>
    <row r="9" spans="1:118">
      <c r="A9" s="249">
        <f>IF(ISNUMBER(A7),A7+1,1)</f>
        <v>1</v>
      </c>
      <c r="B9" s="132" t="str">
        <f t="shared" ref="B9:B39" si="0">CHOOSE(MOD(WEEKDAY(DATE(A$6,A$2,A9)),7)+1,"lø","sø","ma","ti","on","to","fr",)</f>
        <v>ma</v>
      </c>
      <c r="C9" s="133" t="s">
        <v>129</v>
      </c>
      <c r="D9" s="134">
        <f t="shared" ref="D9:D39" si="1">IF(B9="ma",(DATE(A$6,A$2,A9)-DATE(A$6,1,1)+7)/7,"")</f>
        <v>27</v>
      </c>
      <c r="E9" s="871"/>
      <c r="F9" s="872"/>
      <c r="G9" s="873"/>
      <c r="H9" s="313"/>
      <c r="I9" s="582"/>
      <c r="J9" s="440"/>
      <c r="K9" s="405"/>
      <c r="L9" s="405"/>
      <c r="M9" s="405"/>
      <c r="N9" s="334">
        <f>BA9</f>
        <v>0</v>
      </c>
      <c r="O9" s="334">
        <f>CA9</f>
        <v>0</v>
      </c>
      <c r="P9" s="334">
        <f>IF(Stamoplysninger!$H$29="JA",Juli!DG9,CX9)</f>
        <v>0</v>
      </c>
      <c r="Q9" s="334">
        <f>IF(OR(C9="Lejrskole",C9="Ekskursion"),0,N9-O9-P9)</f>
        <v>0</v>
      </c>
      <c r="R9" s="335"/>
      <c r="S9" s="341"/>
      <c r="T9" s="342"/>
      <c r="U9" s="342"/>
      <c r="V9" s="336"/>
      <c r="W9" s="472"/>
      <c r="X9" s="337"/>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9" si="8">SUM(AG9:AK9)*24</f>
        <v>0</v>
      </c>
      <c r="BC9" s="1">
        <f>IF($C$9="Lejrskole",$L$9,0)</f>
        <v>0</v>
      </c>
      <c r="BD9" s="1">
        <f t="shared" ref="BD9:BD39" si="9">IF(C9="Ekskursion",L9,0)</f>
        <v>0</v>
      </c>
      <c r="BE9" s="1">
        <f t="shared" ref="BE9:BE39" si="10">IF(C9="fagdag",L9,0)</f>
        <v>0</v>
      </c>
      <c r="BF9" s="1">
        <f t="shared" ref="BF9:BF39" si="11">IF(C9="emnedag",L9,0)</f>
        <v>0</v>
      </c>
      <c r="BG9" s="214" t="str">
        <f>IF(AND($C$9="Skema 1",$B$9="ma"),Skemaoplysninger!E30,"")</f>
        <v/>
      </c>
      <c r="BH9" s="214" t="str">
        <f>IF(AND(C9="Skema 1",B9="ti"),Skemaoplysninger!$F$30,"")</f>
        <v/>
      </c>
      <c r="BI9" s="214" t="str">
        <f>IF(AND(C9="Skema 1",B9="on"),Skemaoplysninger!$G$30,"")</f>
        <v/>
      </c>
      <c r="BJ9" s="214" t="str">
        <f>IF(AND(C9="Skema 1",B9="to"),Skemaoplysninger!$H$30,"")</f>
        <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9" si="12">IF(C9="fagdag",M9,0)</f>
        <v>0</v>
      </c>
      <c r="CC9" s="1">
        <f t="shared" ref="CC9:CC39" si="13">IF(C9="emnedag",M9,0)</f>
        <v>0</v>
      </c>
      <c r="CD9" s="214" t="str">
        <f>IF(AND(C9="Skema 1",B9="ma"),Skemaoplysninger!$E$39,"")</f>
        <v/>
      </c>
      <c r="CE9" s="214" t="str">
        <f>IF(AND(C9="Skema 1",B9="ti"),Skemaoplysninger!$F$39,"")</f>
        <v/>
      </c>
      <c r="CF9" s="214" t="str">
        <f>IF(AND(C9="Skema 1",B9="on"),Skemaoplysninger!$G$39,"")</f>
        <v/>
      </c>
      <c r="CG9" s="214" t="str">
        <f>IF(AND(C9="Skema 1",B9="to"),Skemaoplysninger!$H$39,"")</f>
        <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8" si="14">IF(DH9=0,"",DH9)</f>
        <v/>
      </c>
      <c r="DL9" t="str">
        <f>IF(DI9=0,"",DI9)</f>
        <v/>
      </c>
      <c r="DM9" t="str">
        <f>IF(DJ9=0,"",DJ9)</f>
        <v/>
      </c>
      <c r="DN9" t="str">
        <f>DK9&amp;""&amp;DL9&amp;""&amp;DM9</f>
        <v/>
      </c>
    </row>
    <row r="10" spans="1:118">
      <c r="A10" s="249">
        <f t="shared" ref="A10:A38" si="15">IF(ISNUMBER(A9),A9+1,1)</f>
        <v>2</v>
      </c>
      <c r="B10" s="132" t="str">
        <f t="shared" si="0"/>
        <v>ti</v>
      </c>
      <c r="C10" s="133" t="s">
        <v>129</v>
      </c>
      <c r="D10" s="134" t="str">
        <f t="shared" si="1"/>
        <v/>
      </c>
      <c r="E10" s="871"/>
      <c r="F10" s="872"/>
      <c r="G10" s="873"/>
      <c r="H10" s="313"/>
      <c r="I10" s="582"/>
      <c r="J10" s="440"/>
      <c r="K10" s="405"/>
      <c r="L10" s="405"/>
      <c r="M10" s="405"/>
      <c r="N10" s="334">
        <f t="shared" ref="N10:N39" si="16">BA10</f>
        <v>0</v>
      </c>
      <c r="O10" s="334">
        <f t="shared" ref="O10:O39" si="17">CA10</f>
        <v>0</v>
      </c>
      <c r="P10" s="334">
        <f>IF(Stamoplysninger!$H$29="JA",Juli!DG10,CX10)</f>
        <v>0</v>
      </c>
      <c r="Q10" s="334">
        <f t="shared" ref="Q10:Q39" si="18">IF(OR(C10="Lejrskole",C10="Ekskursion"),0,N10-O10-P10)</f>
        <v>0</v>
      </c>
      <c r="R10" s="335"/>
      <c r="S10" s="341"/>
      <c r="T10" s="342"/>
      <c r="U10" s="342"/>
      <c r="V10" s="336"/>
      <c r="W10" s="472"/>
      <c r="X10" s="337"/>
      <c r="Y10">
        <f t="shared" ref="Y10:Y39" si="19">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1",B10="ma"),Arbejdstidsoversigt!$E$44,"")</f>
        <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9" si="20">SUM(AA10:AZ10)</f>
        <v>0</v>
      </c>
      <c r="BB10" s="233">
        <f t="shared" si="8"/>
        <v>0</v>
      </c>
      <c r="BC10" s="1">
        <f t="shared" ref="BC10:BC39" si="21">IF(C10="Lejrskole",L10,0)</f>
        <v>0</v>
      </c>
      <c r="BD10" s="1">
        <f t="shared" si="9"/>
        <v>0</v>
      </c>
      <c r="BE10" s="1">
        <f t="shared" si="10"/>
        <v>0</v>
      </c>
      <c r="BF10" s="1">
        <f t="shared" si="11"/>
        <v>0</v>
      </c>
      <c r="BG10" s="214" t="str">
        <f>IF(AND(C10="Skema 1",B10="ma"),Skemaoplysninger!$E$30,"")</f>
        <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9" si="22">SUM(BG10:BZ10)*24+SUM(BC10:BF10)</f>
        <v>0</v>
      </c>
      <c r="CB10" s="1">
        <f t="shared" si="12"/>
        <v>0</v>
      </c>
      <c r="CC10" s="1">
        <f t="shared" si="13"/>
        <v>0</v>
      </c>
      <c r="CD10" s="214" t="str">
        <f>IF(AND(C10="Skema 1",B10="ma"),Skemaoplysninger!$E$39,"")</f>
        <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9" si="23">SUM(CY10:DF10)</f>
        <v>0</v>
      </c>
      <c r="DH10" t="str">
        <f t="shared" ref="DH10:DH39" si="24">IF(AND(E10&gt;0,H10&gt;0),""&amp;E10&amp;" og "&amp;H10&amp;"","")</f>
        <v/>
      </c>
      <c r="DI10">
        <f t="shared" ref="DI10:DI39" si="25">IF(H10="",E10,"")</f>
        <v>0</v>
      </c>
      <c r="DJ10">
        <f t="shared" ref="DJ10:DJ39" si="26">IF(E10="",H10,"")</f>
        <v>0</v>
      </c>
      <c r="DK10" t="str">
        <f t="shared" si="14"/>
        <v/>
      </c>
      <c r="DL10" t="str">
        <f t="shared" si="14"/>
        <v/>
      </c>
      <c r="DM10" t="str">
        <f t="shared" si="14"/>
        <v/>
      </c>
      <c r="DN10" t="str">
        <f t="shared" ref="DN10:DN39" si="27">DK10&amp;""&amp;DL10&amp;""&amp;DM10</f>
        <v/>
      </c>
    </row>
    <row r="11" spans="1:118">
      <c r="A11" s="249">
        <f t="shared" si="15"/>
        <v>3</v>
      </c>
      <c r="B11" s="132" t="str">
        <f t="shared" si="0"/>
        <v>on</v>
      </c>
      <c r="C11" s="133" t="s">
        <v>129</v>
      </c>
      <c r="D11" s="134" t="str">
        <f t="shared" si="1"/>
        <v/>
      </c>
      <c r="E11" s="871"/>
      <c r="F11" s="872"/>
      <c r="G11" s="873"/>
      <c r="H11" s="313"/>
      <c r="I11" s="582"/>
      <c r="J11" s="440"/>
      <c r="K11" s="405"/>
      <c r="L11" s="405"/>
      <c r="M11" s="405"/>
      <c r="N11" s="334">
        <f t="shared" si="16"/>
        <v>0</v>
      </c>
      <c r="O11" s="334">
        <f t="shared" si="17"/>
        <v>0</v>
      </c>
      <c r="P11" s="334">
        <f>IF(Stamoplysninger!$H$29="JA",Juli!DG11,CX11)</f>
        <v>0</v>
      </c>
      <c r="Q11" s="334">
        <f t="shared" si="18"/>
        <v>0</v>
      </c>
      <c r="R11" s="335"/>
      <c r="S11" s="341"/>
      <c r="T11" s="342"/>
      <c r="U11" s="342"/>
      <c r="V11" s="336"/>
      <c r="W11" s="472"/>
      <c r="X11" s="337"/>
      <c r="Y11">
        <f t="shared" si="19"/>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8"/>
        <v>0</v>
      </c>
      <c r="BC11" s="1">
        <f t="shared" si="21"/>
        <v>0</v>
      </c>
      <c r="BD11" s="1">
        <f t="shared" si="9"/>
        <v>0</v>
      </c>
      <c r="BE11" s="1">
        <f t="shared" si="10"/>
        <v>0</v>
      </c>
      <c r="BF11" s="1">
        <f t="shared" si="11"/>
        <v>0</v>
      </c>
      <c r="BG11" s="214" t="str">
        <f>IF(AND(C11="Skema 1",B11="ma"),Skemaoplysninger!$E$30,"")</f>
        <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2"/>
        <v>0</v>
      </c>
      <c r="CC11" s="1">
        <f t="shared" si="13"/>
        <v>0</v>
      </c>
      <c r="CD11" s="214" t="str">
        <f>IF(AND(C11="Skema 1",B11="ma"),Skemaoplysninger!$E$39,"")</f>
        <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4"/>
        <v/>
      </c>
      <c r="DL11" t="str">
        <f t="shared" si="14"/>
        <v/>
      </c>
      <c r="DM11" t="str">
        <f t="shared" si="14"/>
        <v/>
      </c>
      <c r="DN11" t="str">
        <f t="shared" si="27"/>
        <v/>
      </c>
    </row>
    <row r="12" spans="1:118">
      <c r="A12" s="249">
        <f t="shared" si="15"/>
        <v>4</v>
      </c>
      <c r="B12" s="132" t="str">
        <f t="shared" si="0"/>
        <v>to</v>
      </c>
      <c r="C12" s="133" t="s">
        <v>129</v>
      </c>
      <c r="D12" s="134" t="str">
        <f t="shared" si="1"/>
        <v/>
      </c>
      <c r="E12" s="871"/>
      <c r="F12" s="872"/>
      <c r="G12" s="873"/>
      <c r="H12" s="313"/>
      <c r="I12" s="582"/>
      <c r="J12" s="440"/>
      <c r="K12" s="405"/>
      <c r="L12" s="405"/>
      <c r="M12" s="405"/>
      <c r="N12" s="334">
        <f t="shared" si="16"/>
        <v>0</v>
      </c>
      <c r="O12" s="334">
        <f t="shared" si="17"/>
        <v>0</v>
      </c>
      <c r="P12" s="334">
        <f>IF(Stamoplysninger!$H$29="JA",Juli!DG12,CX12)</f>
        <v>0</v>
      </c>
      <c r="Q12" s="334">
        <f t="shared" si="18"/>
        <v>0</v>
      </c>
      <c r="R12" s="335"/>
      <c r="S12" s="341"/>
      <c r="T12" s="342"/>
      <c r="U12" s="342"/>
      <c r="V12" s="336"/>
      <c r="W12" s="472"/>
      <c r="X12" s="337"/>
      <c r="Y12">
        <f t="shared" si="19"/>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1",B12="ma"),Arbejdstidsoversigt!$E$44,"")</f>
        <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8"/>
        <v>0</v>
      </c>
      <c r="BC12" s="1">
        <f t="shared" si="21"/>
        <v>0</v>
      </c>
      <c r="BD12" s="1">
        <f t="shared" si="9"/>
        <v>0</v>
      </c>
      <c r="BE12" s="1">
        <f t="shared" si="10"/>
        <v>0</v>
      </c>
      <c r="BF12" s="1">
        <f t="shared" si="11"/>
        <v>0</v>
      </c>
      <c r="BG12" s="214" t="str">
        <f>IF(AND(C12="Skema 1",B12="ma"),Skemaoplysninger!$E$30,"")</f>
        <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2"/>
        <v>0</v>
      </c>
      <c r="CC12" s="1">
        <f t="shared" si="13"/>
        <v>0</v>
      </c>
      <c r="CD12" s="214" t="str">
        <f>IF(AND(C12="Skema 1",B12="ma"),Skemaoplysninger!$E$39,"")</f>
        <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4"/>
        <v/>
      </c>
      <c r="DL12" t="str">
        <f t="shared" si="14"/>
        <v/>
      </c>
      <c r="DM12" t="str">
        <f t="shared" si="14"/>
        <v/>
      </c>
      <c r="DN12" t="str">
        <f t="shared" si="27"/>
        <v/>
      </c>
    </row>
    <row r="13" spans="1:118">
      <c r="A13" s="249">
        <f t="shared" si="15"/>
        <v>5</v>
      </c>
      <c r="B13" s="132" t="str">
        <f t="shared" si="0"/>
        <v>fr</v>
      </c>
      <c r="C13" s="133" t="s">
        <v>129</v>
      </c>
      <c r="D13" s="134" t="str">
        <f t="shared" si="1"/>
        <v/>
      </c>
      <c r="E13" s="871"/>
      <c r="F13" s="872"/>
      <c r="G13" s="873"/>
      <c r="H13" s="313"/>
      <c r="I13" s="582"/>
      <c r="J13" s="440"/>
      <c r="K13" s="405"/>
      <c r="L13" s="405"/>
      <c r="M13" s="405"/>
      <c r="N13" s="334">
        <f t="shared" si="16"/>
        <v>0</v>
      </c>
      <c r="O13" s="334">
        <f t="shared" si="17"/>
        <v>0</v>
      </c>
      <c r="P13" s="334">
        <f>IF(Stamoplysninger!$H$29="JA",Juli!DG13,CX13)</f>
        <v>0</v>
      </c>
      <c r="Q13" s="334">
        <f t="shared" si="18"/>
        <v>0</v>
      </c>
      <c r="R13" s="335"/>
      <c r="S13" s="341"/>
      <c r="T13" s="342"/>
      <c r="U13" s="342"/>
      <c r="V13" s="336"/>
      <c r="W13" s="472"/>
      <c r="X13" s="337"/>
      <c r="Y13">
        <f t="shared" si="19"/>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1",B13="ma"),Arbejdstidsoversigt!$E$44,"")</f>
        <v/>
      </c>
      <c r="AH13" t="str">
        <f>IF(AND(C13="Skema 1",B13="ti"),Arbejdstidsoversigt!$E$45,"")</f>
        <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0</v>
      </c>
      <c r="BB13" s="233">
        <f t="shared" si="8"/>
        <v>0</v>
      </c>
      <c r="BC13" s="1">
        <f t="shared" si="21"/>
        <v>0</v>
      </c>
      <c r="BD13" s="1">
        <f t="shared" si="9"/>
        <v>0</v>
      </c>
      <c r="BE13" s="1">
        <f t="shared" si="10"/>
        <v>0</v>
      </c>
      <c r="BF13" s="1">
        <f t="shared" si="11"/>
        <v>0</v>
      </c>
      <c r="BG13" s="214" t="str">
        <f>IF(AND(C13="Skema 1",B13="ma"),Skemaoplysninger!$E$30,"")</f>
        <v/>
      </c>
      <c r="BH13" s="214" t="str">
        <f>IF(AND(C13="Skema 1",B13="ti"),Skemaoplysninger!$F$30,"")</f>
        <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2"/>
        <v>0</v>
      </c>
      <c r="CC13" s="1">
        <f t="shared" si="13"/>
        <v>0</v>
      </c>
      <c r="CD13" s="214" t="str">
        <f>IF(AND(C13="Skema 1",B13="ma"),Skemaoplysninger!$E$39,"")</f>
        <v/>
      </c>
      <c r="CE13" s="214" t="str">
        <f>IF(AND(C13="Skema 1",B13="ti"),Skemaoplysninger!$F$39,"")</f>
        <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4"/>
        <v/>
      </c>
      <c r="DL13" t="str">
        <f t="shared" si="14"/>
        <v/>
      </c>
      <c r="DM13" t="str">
        <f t="shared" si="14"/>
        <v/>
      </c>
      <c r="DN13" t="str">
        <f t="shared" si="27"/>
        <v/>
      </c>
    </row>
    <row r="14" spans="1:118" ht="16" customHeight="1">
      <c r="A14" s="249">
        <f t="shared" si="15"/>
        <v>6</v>
      </c>
      <c r="B14" s="132" t="str">
        <f t="shared" si="0"/>
        <v>lø</v>
      </c>
      <c r="C14" s="133" t="s">
        <v>121</v>
      </c>
      <c r="D14" s="134" t="str">
        <f t="shared" si="1"/>
        <v/>
      </c>
      <c r="E14" s="871"/>
      <c r="F14" s="872"/>
      <c r="G14" s="873"/>
      <c r="H14" s="313"/>
      <c r="I14" s="440"/>
      <c r="J14" s="440"/>
      <c r="K14" s="405"/>
      <c r="L14" s="405"/>
      <c r="M14" s="405"/>
      <c r="N14" s="334">
        <f t="shared" si="16"/>
        <v>0</v>
      </c>
      <c r="O14" s="334">
        <f t="shared" si="17"/>
        <v>0</v>
      </c>
      <c r="P14" s="334">
        <f>IF(Stamoplysninger!$H$29="JA",Juli!DG14,CX14)</f>
        <v>0</v>
      </c>
      <c r="Q14" s="334">
        <f t="shared" si="18"/>
        <v>0</v>
      </c>
      <c r="R14" s="335"/>
      <c r="S14" s="341"/>
      <c r="T14" s="342"/>
      <c r="U14" s="342"/>
      <c r="V14" s="336"/>
      <c r="W14" s="472"/>
      <c r="X14" s="337"/>
      <c r="Y14">
        <f t="shared" si="19"/>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1",B14="ma"),Arbejdstidsoversigt!$E$44,"")</f>
        <v/>
      </c>
      <c r="AH14" t="str">
        <f>IF(AND(C14="Skema 1",B14="ti"),Arbejdstidsoversigt!$E$45,"")</f>
        <v/>
      </c>
      <c r="AI14" t="str">
        <f>IF(AND(C14="Skema 1",B14="on"),Arbejdstidsoversigt!$E$46,"")</f>
        <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0</v>
      </c>
      <c r="BB14" s="233">
        <f t="shared" si="8"/>
        <v>0</v>
      </c>
      <c r="BC14" s="1">
        <f t="shared" si="21"/>
        <v>0</v>
      </c>
      <c r="BD14" s="1">
        <f t="shared" si="9"/>
        <v>0</v>
      </c>
      <c r="BE14" s="1">
        <f t="shared" si="10"/>
        <v>0</v>
      </c>
      <c r="BF14" s="1">
        <f t="shared" si="11"/>
        <v>0</v>
      </c>
      <c r="BG14" s="214" t="str">
        <f>IF(AND(C14="Skema 1",B14="ma"),Skemaoplysninger!$E$30,"")</f>
        <v/>
      </c>
      <c r="BH14" s="214" t="str">
        <f>IF(AND(C14="Skema 1",B14="ti"),Skemaoplysninger!$F$30,"")</f>
        <v/>
      </c>
      <c r="BI14" s="214" t="str">
        <f>IF(AND(C14="Skema 1",B14="on"),Skemaoplysninger!$G$30,"")</f>
        <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2"/>
        <v>0</v>
      </c>
      <c r="CC14" s="1">
        <f t="shared" si="13"/>
        <v>0</v>
      </c>
      <c r="CD14" s="214" t="str">
        <f>IF(AND(C14="Skema 1",B14="ma"),Skemaoplysninger!$E$39,"")</f>
        <v/>
      </c>
      <c r="CE14" s="214" t="str">
        <f>IF(AND(C14="Skema 1",B14="ti"),Skemaoplysninger!$F$39,"")</f>
        <v/>
      </c>
      <c r="CF14" s="214" t="str">
        <f>IF(AND(C14="Skema 1",B14="on"),Skemaoplysninger!$G$39,"")</f>
        <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4"/>
        <v/>
      </c>
      <c r="DL14" t="str">
        <f t="shared" si="14"/>
        <v/>
      </c>
      <c r="DM14" t="str">
        <f t="shared" si="14"/>
        <v/>
      </c>
      <c r="DN14" t="str">
        <f t="shared" si="27"/>
        <v/>
      </c>
    </row>
    <row r="15" spans="1:118" ht="16" customHeight="1">
      <c r="A15" s="249">
        <f t="shared" si="15"/>
        <v>7</v>
      </c>
      <c r="B15" s="132" t="str">
        <f t="shared" si="0"/>
        <v>sø</v>
      </c>
      <c r="C15" s="133" t="s">
        <v>121</v>
      </c>
      <c r="D15" s="134" t="str">
        <f t="shared" si="1"/>
        <v/>
      </c>
      <c r="E15" s="871"/>
      <c r="F15" s="872"/>
      <c r="G15" s="873"/>
      <c r="H15" s="313"/>
      <c r="I15" s="440"/>
      <c r="J15" s="440"/>
      <c r="K15" s="405"/>
      <c r="L15" s="405"/>
      <c r="M15" s="405"/>
      <c r="N15" s="334">
        <f t="shared" si="16"/>
        <v>0</v>
      </c>
      <c r="O15" s="334">
        <f t="shared" si="17"/>
        <v>0</v>
      </c>
      <c r="P15" s="334">
        <f>IF(Stamoplysninger!$H$29="JA",Juli!DG15,CX15)</f>
        <v>0</v>
      </c>
      <c r="Q15" s="334">
        <f t="shared" si="18"/>
        <v>0</v>
      </c>
      <c r="R15" s="335"/>
      <c r="S15" s="341"/>
      <c r="T15" s="342"/>
      <c r="U15" s="342"/>
      <c r="V15" s="336"/>
      <c r="W15" s="472"/>
      <c r="X15" s="337"/>
      <c r="Y15">
        <f t="shared" si="19"/>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1",B15="ma"),Arbejdstidsoversigt!$E$44,"")</f>
        <v/>
      </c>
      <c r="AH15" t="str">
        <f>IF(AND(C15="Skema 1",B15="ti"),Arbejdstidsoversigt!$E$45,"")</f>
        <v/>
      </c>
      <c r="AI15" t="str">
        <f>IF(AND(C15="Skema 1",B15="on"),Arbejdstidsoversigt!$E$46,"")</f>
        <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8"/>
        <v>0</v>
      </c>
      <c r="BC15" s="1">
        <f t="shared" si="21"/>
        <v>0</v>
      </c>
      <c r="BD15" s="1">
        <f t="shared" si="9"/>
        <v>0</v>
      </c>
      <c r="BE15" s="1">
        <f t="shared" si="10"/>
        <v>0</v>
      </c>
      <c r="BF15" s="1">
        <f t="shared" si="11"/>
        <v>0</v>
      </c>
      <c r="BG15" s="214" t="str">
        <f>IF(AND(C15="Skema 1",B15="ma"),Skemaoplysninger!$E$30,"")</f>
        <v/>
      </c>
      <c r="BH15" s="214" t="str">
        <f>IF(AND(C15="Skema 1",B15="ti"),Skemaoplysninger!$F$30,"")</f>
        <v/>
      </c>
      <c r="BI15" s="214" t="str">
        <f>IF(AND(C15="Skema 1",B15="on"),Skemaoplysninger!$G$30,"")</f>
        <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2"/>
        <v>0</v>
      </c>
      <c r="CC15" s="1">
        <f t="shared" si="13"/>
        <v>0</v>
      </c>
      <c r="CD15" s="214" t="str">
        <f>IF(AND(C15="Skema 1",B15="ma"),Skemaoplysninger!$E$39,"")</f>
        <v/>
      </c>
      <c r="CE15" s="214" t="str">
        <f>IF(AND(C15="Skema 1",B15="ti"),Skemaoplysninger!$F$39,"")</f>
        <v/>
      </c>
      <c r="CF15" s="214" t="str">
        <f>IF(AND(C15="Skema 1",B15="on"),Skemaoplysninger!$G$39,"")</f>
        <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4"/>
        <v/>
      </c>
      <c r="DL15" t="str">
        <f t="shared" si="14"/>
        <v/>
      </c>
      <c r="DM15" t="str">
        <f t="shared" si="14"/>
        <v/>
      </c>
      <c r="DN15" t="str">
        <f t="shared" si="27"/>
        <v/>
      </c>
    </row>
    <row r="16" spans="1:118">
      <c r="A16" s="249">
        <f t="shared" si="15"/>
        <v>8</v>
      </c>
      <c r="B16" s="132" t="str">
        <f t="shared" si="0"/>
        <v>ma</v>
      </c>
      <c r="C16" s="133" t="s">
        <v>213</v>
      </c>
      <c r="D16" s="134">
        <f t="shared" si="1"/>
        <v>28</v>
      </c>
      <c r="E16" s="871" t="s">
        <v>114</v>
      </c>
      <c r="F16" s="872"/>
      <c r="G16" s="873"/>
      <c r="H16" s="313"/>
      <c r="I16" s="582"/>
      <c r="J16" s="440"/>
      <c r="K16" s="405"/>
      <c r="L16" s="405"/>
      <c r="M16" s="405"/>
      <c r="N16" s="334">
        <f t="shared" si="16"/>
        <v>0</v>
      </c>
      <c r="O16" s="334">
        <f t="shared" si="17"/>
        <v>0</v>
      </c>
      <c r="P16" s="334">
        <f>IF(Stamoplysninger!$H$29="JA",Juli!DG16,CX16)</f>
        <v>0</v>
      </c>
      <c r="Q16" s="334">
        <f t="shared" si="18"/>
        <v>0</v>
      </c>
      <c r="R16" s="335"/>
      <c r="S16" s="341"/>
      <c r="T16" s="342"/>
      <c r="U16" s="342"/>
      <c r="V16" s="336"/>
      <c r="W16" s="472"/>
      <c r="X16" s="337"/>
      <c r="Y16">
        <f t="shared" si="19"/>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1",B16="ma"),Arbejdstidsoversigt!$E$44,"")</f>
        <v/>
      </c>
      <c r="AH16" t="str">
        <f>IF(AND(C16="Skema 1",B16="ti"),Arbejdstidsoversigt!$E$45,"")</f>
        <v/>
      </c>
      <c r="AI16" t="str">
        <f>IF(AND(C16="Skema 1",B16="on"),Arbejdstidsoversigt!$E$46,"")</f>
        <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0</v>
      </c>
      <c r="BB16" s="233">
        <f t="shared" si="8"/>
        <v>0</v>
      </c>
      <c r="BC16" s="1">
        <f t="shared" si="21"/>
        <v>0</v>
      </c>
      <c r="BD16" s="1">
        <f t="shared" si="9"/>
        <v>0</v>
      </c>
      <c r="BE16" s="1">
        <f t="shared" si="10"/>
        <v>0</v>
      </c>
      <c r="BF16" s="1">
        <f t="shared" si="11"/>
        <v>0</v>
      </c>
      <c r="BG16" s="214" t="str">
        <f>IF(AND(C16="Skema 1",B16="ma"),Skemaoplysninger!$E$30,"")</f>
        <v/>
      </c>
      <c r="BH16" s="214" t="str">
        <f>IF(AND(C16="Skema 1",B16="ti"),Skemaoplysninger!$F$30,"")</f>
        <v/>
      </c>
      <c r="BI16" s="214" t="str">
        <f>IF(AND(C16="Skema 1",B16="on"),Skemaoplysninger!$G$30,"")</f>
        <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2"/>
        <v>0</v>
      </c>
      <c r="CC16" s="1">
        <f t="shared" si="13"/>
        <v>0</v>
      </c>
      <c r="CD16" s="214" t="str">
        <f>IF(AND(C16="Skema 1",B16="ma"),Skemaoplysninger!$E$39,"")</f>
        <v/>
      </c>
      <c r="CE16" s="214" t="str">
        <f>IF(AND(C16="Skema 1",B16="ti"),Skemaoplysninger!$F$39,"")</f>
        <v/>
      </c>
      <c r="CF16" s="214" t="str">
        <f>IF(AND(C16="Skema 1",B16="on"),Skemaoplysninger!$G$39,"")</f>
        <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t="str">
        <f t="shared" si="25"/>
        <v>Sommerferie</v>
      </c>
      <c r="DJ16" t="str">
        <f t="shared" si="26"/>
        <v/>
      </c>
      <c r="DK16" t="str">
        <f t="shared" si="14"/>
        <v/>
      </c>
      <c r="DL16" t="str">
        <f t="shared" si="14"/>
        <v>Sommerferie</v>
      </c>
      <c r="DM16" t="str">
        <f t="shared" si="14"/>
        <v/>
      </c>
      <c r="DN16" t="str">
        <f t="shared" si="27"/>
        <v>Sommerferie</v>
      </c>
    </row>
    <row r="17" spans="1:118">
      <c r="A17" s="249">
        <f t="shared" si="15"/>
        <v>9</v>
      </c>
      <c r="B17" s="132" t="str">
        <f t="shared" si="0"/>
        <v>ti</v>
      </c>
      <c r="C17" s="133" t="s">
        <v>213</v>
      </c>
      <c r="D17" s="134" t="str">
        <f t="shared" si="1"/>
        <v/>
      </c>
      <c r="E17" s="871" t="s">
        <v>114</v>
      </c>
      <c r="F17" s="872"/>
      <c r="G17" s="873"/>
      <c r="H17" s="313"/>
      <c r="I17" s="582"/>
      <c r="J17" s="440"/>
      <c r="K17" s="405"/>
      <c r="L17" s="405"/>
      <c r="M17" s="405"/>
      <c r="N17" s="334">
        <f t="shared" si="16"/>
        <v>0</v>
      </c>
      <c r="O17" s="334">
        <f t="shared" si="17"/>
        <v>0</v>
      </c>
      <c r="P17" s="334">
        <f>IF(Stamoplysninger!$H$29="JA",Juli!DG17,CX17)</f>
        <v>0</v>
      </c>
      <c r="Q17" s="334">
        <f t="shared" si="18"/>
        <v>0</v>
      </c>
      <c r="R17" s="335"/>
      <c r="S17" s="341"/>
      <c r="T17" s="342"/>
      <c r="U17" s="342"/>
      <c r="V17" s="336"/>
      <c r="W17" s="472"/>
      <c r="X17" s="337"/>
      <c r="Y17">
        <f t="shared" si="19"/>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1",B17="ma"),Arbejdstidsoversigt!$E$44,"")</f>
        <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8"/>
        <v>0</v>
      </c>
      <c r="BC17" s="1">
        <f t="shared" si="21"/>
        <v>0</v>
      </c>
      <c r="BD17" s="1">
        <f t="shared" si="9"/>
        <v>0</v>
      </c>
      <c r="BE17" s="1">
        <f t="shared" si="10"/>
        <v>0</v>
      </c>
      <c r="BF17" s="1">
        <f t="shared" si="11"/>
        <v>0</v>
      </c>
      <c r="BG17" s="214" t="str">
        <f>IF(AND(C17="Skema 1",B17="ma"),Skemaoplysninger!$E$30,"")</f>
        <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2"/>
        <v>0</v>
      </c>
      <c r="CC17" s="1">
        <f t="shared" si="13"/>
        <v>0</v>
      </c>
      <c r="CD17" s="214" t="str">
        <f>IF(AND(C17="Skema 1",B17="ma"),Skemaoplysninger!$E$39,"")</f>
        <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t="str">
        <f t="shared" si="25"/>
        <v>Sommerferie</v>
      </c>
      <c r="DJ17" t="str">
        <f t="shared" si="26"/>
        <v/>
      </c>
      <c r="DK17" t="str">
        <f t="shared" si="14"/>
        <v/>
      </c>
      <c r="DL17" t="str">
        <f t="shared" si="14"/>
        <v>Sommerferie</v>
      </c>
      <c r="DM17" t="str">
        <f t="shared" si="14"/>
        <v/>
      </c>
      <c r="DN17" t="str">
        <f t="shared" si="27"/>
        <v>Sommerferie</v>
      </c>
    </row>
    <row r="18" spans="1:118">
      <c r="A18" s="249">
        <f t="shared" si="15"/>
        <v>10</v>
      </c>
      <c r="B18" s="132" t="str">
        <f t="shared" si="0"/>
        <v>on</v>
      </c>
      <c r="C18" s="133" t="s">
        <v>213</v>
      </c>
      <c r="D18" s="134" t="str">
        <f t="shared" si="1"/>
        <v/>
      </c>
      <c r="E18" s="871" t="s">
        <v>114</v>
      </c>
      <c r="F18" s="872"/>
      <c r="G18" s="873"/>
      <c r="H18" s="313"/>
      <c r="I18" s="582"/>
      <c r="J18" s="440"/>
      <c r="K18" s="405"/>
      <c r="L18" s="405"/>
      <c r="M18" s="405"/>
      <c r="N18" s="334">
        <f t="shared" si="16"/>
        <v>0</v>
      </c>
      <c r="O18" s="334">
        <f t="shared" si="17"/>
        <v>0</v>
      </c>
      <c r="P18" s="334">
        <f>IF(Stamoplysninger!$H$29="JA",Juli!DG18,CX18)</f>
        <v>0</v>
      </c>
      <c r="Q18" s="334">
        <f t="shared" si="18"/>
        <v>0</v>
      </c>
      <c r="R18" s="335"/>
      <c r="S18" s="341"/>
      <c r="T18" s="342"/>
      <c r="U18" s="342"/>
      <c r="V18" s="336"/>
      <c r="W18" s="472"/>
      <c r="X18" s="337"/>
      <c r="Y18">
        <f t="shared" si="19"/>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1",B18="ma"),Arbejdstidsoversigt!$E$44,"")</f>
        <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8"/>
        <v>0</v>
      </c>
      <c r="BC18" s="1">
        <f t="shared" si="21"/>
        <v>0</v>
      </c>
      <c r="BD18" s="1">
        <f t="shared" si="9"/>
        <v>0</v>
      </c>
      <c r="BE18" s="1">
        <f t="shared" si="10"/>
        <v>0</v>
      </c>
      <c r="BF18" s="1">
        <f t="shared" si="11"/>
        <v>0</v>
      </c>
      <c r="BG18" s="214" t="str">
        <f>IF(AND(C18="Skema 1",B18="ma"),Skemaoplysninger!$E$30,"")</f>
        <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2"/>
        <v>0</v>
      </c>
      <c r="CC18" s="1">
        <f t="shared" si="13"/>
        <v>0</v>
      </c>
      <c r="CD18" s="214" t="str">
        <f>IF(AND(C18="Skema 1",B18="ma"),Skemaoplysninger!$E$39,"")</f>
        <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t="str">
        <f t="shared" si="25"/>
        <v>Sommerferie</v>
      </c>
      <c r="DJ18" t="str">
        <f t="shared" si="26"/>
        <v/>
      </c>
      <c r="DK18" t="str">
        <f t="shared" si="14"/>
        <v/>
      </c>
      <c r="DL18" t="str">
        <f t="shared" si="14"/>
        <v>Sommerferie</v>
      </c>
      <c r="DM18" t="str">
        <f t="shared" si="14"/>
        <v/>
      </c>
      <c r="DN18" t="str">
        <f t="shared" si="27"/>
        <v>Sommerferie</v>
      </c>
    </row>
    <row r="19" spans="1:118">
      <c r="A19" s="249">
        <f t="shared" si="15"/>
        <v>11</v>
      </c>
      <c r="B19" s="132" t="str">
        <f t="shared" si="0"/>
        <v>to</v>
      </c>
      <c r="C19" s="133" t="s">
        <v>213</v>
      </c>
      <c r="D19" s="134" t="str">
        <f t="shared" si="1"/>
        <v/>
      </c>
      <c r="E19" s="871" t="s">
        <v>114</v>
      </c>
      <c r="F19" s="872"/>
      <c r="G19" s="873"/>
      <c r="H19" s="313"/>
      <c r="I19" s="582"/>
      <c r="J19" s="440"/>
      <c r="K19" s="405"/>
      <c r="L19" s="405"/>
      <c r="M19" s="405"/>
      <c r="N19" s="334">
        <f t="shared" si="16"/>
        <v>0</v>
      </c>
      <c r="O19" s="334">
        <f t="shared" si="17"/>
        <v>0</v>
      </c>
      <c r="P19" s="334">
        <f>IF(Stamoplysninger!$H$29="JA",Juli!DG19,CX19)</f>
        <v>0</v>
      </c>
      <c r="Q19" s="334">
        <f t="shared" si="18"/>
        <v>0</v>
      </c>
      <c r="R19" s="335"/>
      <c r="S19" s="341"/>
      <c r="T19" s="342"/>
      <c r="U19" s="342"/>
      <c r="V19" s="336"/>
      <c r="W19" s="472"/>
      <c r="X19" s="337"/>
      <c r="Y19">
        <f t="shared" si="19"/>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1",B19="ma"),Arbejdstidsoversigt!$E$44,"")</f>
        <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8"/>
        <v>0</v>
      </c>
      <c r="BC19" s="1">
        <f t="shared" si="21"/>
        <v>0</v>
      </c>
      <c r="BD19" s="1">
        <f t="shared" si="9"/>
        <v>0</v>
      </c>
      <c r="BE19" s="1">
        <f t="shared" si="10"/>
        <v>0</v>
      </c>
      <c r="BF19" s="1">
        <f t="shared" si="11"/>
        <v>0</v>
      </c>
      <c r="BG19" s="214" t="str">
        <f>IF(AND(C19="Skema 1",B19="ma"),Skemaoplysninger!$E$30,"")</f>
        <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2"/>
        <v>0</v>
      </c>
      <c r="CC19" s="1">
        <f t="shared" si="13"/>
        <v>0</v>
      </c>
      <c r="CD19" s="214" t="str">
        <f>IF(AND(C19="Skema 1",B19="ma"),Skemaoplysninger!$E$39,"")</f>
        <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t="str">
        <f t="shared" si="25"/>
        <v>Sommerferie</v>
      </c>
      <c r="DJ19" t="str">
        <f t="shared" si="26"/>
        <v/>
      </c>
      <c r="DK19" t="str">
        <f t="shared" si="14"/>
        <v/>
      </c>
      <c r="DL19" t="str">
        <f t="shared" si="14"/>
        <v>Sommerferie</v>
      </c>
      <c r="DM19" t="str">
        <f t="shared" si="14"/>
        <v/>
      </c>
      <c r="DN19" t="str">
        <f t="shared" si="27"/>
        <v>Sommerferie</v>
      </c>
    </row>
    <row r="20" spans="1:118">
      <c r="A20" s="249">
        <f>IF(ISNUMBER(A19),A19+1,1)</f>
        <v>12</v>
      </c>
      <c r="B20" s="132" t="str">
        <f t="shared" si="0"/>
        <v>fr</v>
      </c>
      <c r="C20" s="133" t="s">
        <v>213</v>
      </c>
      <c r="D20" s="134" t="str">
        <f t="shared" si="1"/>
        <v/>
      </c>
      <c r="E20" s="871" t="s">
        <v>114</v>
      </c>
      <c r="F20" s="872"/>
      <c r="G20" s="873"/>
      <c r="H20" s="313"/>
      <c r="I20" s="582"/>
      <c r="J20" s="440"/>
      <c r="K20" s="405"/>
      <c r="L20" s="405"/>
      <c r="M20" s="405"/>
      <c r="N20" s="334">
        <f t="shared" si="16"/>
        <v>0</v>
      </c>
      <c r="O20" s="334">
        <f t="shared" si="17"/>
        <v>0</v>
      </c>
      <c r="P20" s="334">
        <f>IF(Stamoplysninger!$H$29="JA",Juli!DG20,CX20)</f>
        <v>0</v>
      </c>
      <c r="Q20" s="334">
        <f t="shared" si="18"/>
        <v>0</v>
      </c>
      <c r="R20" s="335"/>
      <c r="S20" s="341"/>
      <c r="T20" s="342"/>
      <c r="U20" s="342"/>
      <c r="V20" s="336"/>
      <c r="W20" s="472"/>
      <c r="X20" s="337"/>
      <c r="Y20">
        <f t="shared" si="19"/>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1",B20="ma"),Arbejdstidsoversigt!$E$44,"")</f>
        <v/>
      </c>
      <c r="AH20" t="str">
        <f>IF(AND(C20="Skema 1",B20="ti"),Arbejdstidsoversigt!$E$45,"")</f>
        <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8"/>
        <v>0</v>
      </c>
      <c r="BC20" s="1">
        <f t="shared" si="21"/>
        <v>0</v>
      </c>
      <c r="BD20" s="1">
        <f t="shared" si="9"/>
        <v>0</v>
      </c>
      <c r="BE20" s="1">
        <f t="shared" si="10"/>
        <v>0</v>
      </c>
      <c r="BF20" s="1">
        <f t="shared" si="11"/>
        <v>0</v>
      </c>
      <c r="BG20" s="214" t="str">
        <f>IF(AND(C20="Skema 1",B20="ma"),Skemaoplysninger!$E$30,"")</f>
        <v/>
      </c>
      <c r="BH20" s="214" t="str">
        <f>IF(AND(C20="Skema 1",B20="ti"),Skemaoplysninger!$F$30,"")</f>
        <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2"/>
        <v>0</v>
      </c>
      <c r="CC20" s="1">
        <f t="shared" si="13"/>
        <v>0</v>
      </c>
      <c r="CD20" s="214" t="str">
        <f>IF(AND(C20="Skema 1",B20="ma"),Skemaoplysninger!$E$39,"")</f>
        <v/>
      </c>
      <c r="CE20" s="214" t="str">
        <f>IF(AND(C20="Skema 1",B20="ti"),Skemaoplysninger!$F$39,"")</f>
        <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t="str">
        <f t="shared" si="25"/>
        <v>Sommerferie</v>
      </c>
      <c r="DJ20" t="str">
        <f t="shared" si="26"/>
        <v/>
      </c>
      <c r="DK20" t="str">
        <f t="shared" si="14"/>
        <v/>
      </c>
      <c r="DL20" t="str">
        <f t="shared" si="14"/>
        <v>Sommerferie</v>
      </c>
      <c r="DM20" t="str">
        <f t="shared" si="14"/>
        <v/>
      </c>
      <c r="DN20" t="str">
        <f t="shared" si="27"/>
        <v>Sommerferie</v>
      </c>
    </row>
    <row r="21" spans="1:118">
      <c r="A21" s="249">
        <f>IF(ISNUMBER(A20),A20+1,1)</f>
        <v>13</v>
      </c>
      <c r="B21" s="132" t="str">
        <f t="shared" si="0"/>
        <v>lø</v>
      </c>
      <c r="C21" s="133" t="s">
        <v>121</v>
      </c>
      <c r="D21" s="134" t="str">
        <f t="shared" si="1"/>
        <v/>
      </c>
      <c r="E21" s="871"/>
      <c r="F21" s="872"/>
      <c r="G21" s="873"/>
      <c r="H21" s="312"/>
      <c r="I21" s="440"/>
      <c r="J21" s="440"/>
      <c r="K21" s="405"/>
      <c r="L21" s="405"/>
      <c r="M21" s="405"/>
      <c r="N21" s="334">
        <f t="shared" si="16"/>
        <v>0</v>
      </c>
      <c r="O21" s="334">
        <f t="shared" si="17"/>
        <v>0</v>
      </c>
      <c r="P21" s="334">
        <f>IF(Stamoplysninger!$H$29="JA",Juli!DG21,CX21)</f>
        <v>0</v>
      </c>
      <c r="Q21" s="334">
        <f t="shared" si="18"/>
        <v>0</v>
      </c>
      <c r="R21" s="335"/>
      <c r="S21" s="341"/>
      <c r="T21" s="342"/>
      <c r="U21" s="342"/>
      <c r="V21" s="336"/>
      <c r="W21" s="472"/>
      <c r="X21" s="337"/>
      <c r="Y21">
        <f t="shared" si="19"/>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1",B21="ma"),Arbejdstidsoversigt!$E$44,"")</f>
        <v/>
      </c>
      <c r="AH21" t="str">
        <f>IF(AND(C21="Skema 1",B21="ti"),Arbejdstidsoversigt!$E$45,"")</f>
        <v/>
      </c>
      <c r="AI21" t="str">
        <f>IF(AND(C21="Skema 1",B21="on"),Arbejdstidsoversigt!$E$46,"")</f>
        <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8"/>
        <v>0</v>
      </c>
      <c r="BC21" s="1">
        <f t="shared" si="21"/>
        <v>0</v>
      </c>
      <c r="BD21" s="1">
        <f t="shared" si="9"/>
        <v>0</v>
      </c>
      <c r="BE21" s="1">
        <f t="shared" si="10"/>
        <v>0</v>
      </c>
      <c r="BF21" s="1">
        <f t="shared" si="11"/>
        <v>0</v>
      </c>
      <c r="BG21" s="214" t="str">
        <f>IF(AND(C21="Skema 1",B21="ma"),Skemaoplysninger!$E$30,"")</f>
        <v/>
      </c>
      <c r="BH21" s="214" t="str">
        <f>IF(AND(C21="Skema 1",B21="ti"),Skemaoplysninger!$F$30,"")</f>
        <v/>
      </c>
      <c r="BI21" s="214" t="str">
        <f>IF(AND(C21="Skema 1",B21="on"),Skemaoplysninger!$G$30,"")</f>
        <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2"/>
        <v>0</v>
      </c>
      <c r="CC21" s="1">
        <f t="shared" si="13"/>
        <v>0</v>
      </c>
      <c r="CD21" s="214" t="str">
        <f>IF(AND(C21="Skema 1",B21="ma"),Skemaoplysninger!$E$39,"")</f>
        <v/>
      </c>
      <c r="CE21" s="214" t="str">
        <f>IF(AND(C21="Skema 1",B21="ti"),Skemaoplysninger!$F$39,"")</f>
        <v/>
      </c>
      <c r="CF21" s="214" t="str">
        <f>IF(AND(C21="Skema 1",B21="on"),Skemaoplysninger!$G$39,"")</f>
        <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4"/>
        <v/>
      </c>
      <c r="DL21" t="str">
        <f t="shared" si="14"/>
        <v/>
      </c>
      <c r="DM21" t="str">
        <f t="shared" si="14"/>
        <v/>
      </c>
      <c r="DN21" t="str">
        <f t="shared" si="27"/>
        <v/>
      </c>
    </row>
    <row r="22" spans="1:118">
      <c r="A22" s="249">
        <f t="shared" si="15"/>
        <v>14</v>
      </c>
      <c r="B22" s="132" t="str">
        <f t="shared" si="0"/>
        <v>sø</v>
      </c>
      <c r="C22" s="133" t="s">
        <v>121</v>
      </c>
      <c r="D22" s="134" t="str">
        <f t="shared" si="1"/>
        <v/>
      </c>
      <c r="E22" s="871"/>
      <c r="F22" s="872"/>
      <c r="G22" s="873"/>
      <c r="H22" s="312"/>
      <c r="I22" s="440"/>
      <c r="J22" s="440"/>
      <c r="K22" s="405"/>
      <c r="L22" s="405"/>
      <c r="M22" s="405"/>
      <c r="N22" s="334">
        <f t="shared" si="16"/>
        <v>0</v>
      </c>
      <c r="O22" s="334">
        <f t="shared" si="17"/>
        <v>0</v>
      </c>
      <c r="P22" s="334">
        <f>IF(Stamoplysninger!$H$29="JA",Juli!DG22,CX22)</f>
        <v>0</v>
      </c>
      <c r="Q22" s="334">
        <f t="shared" si="18"/>
        <v>0</v>
      </c>
      <c r="R22" s="335"/>
      <c r="S22" s="341"/>
      <c r="T22" s="342"/>
      <c r="U22" s="342"/>
      <c r="V22" s="336"/>
      <c r="W22" s="472"/>
      <c r="X22" s="337"/>
      <c r="Y22">
        <f t="shared" si="19"/>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1",B22="ma"),Arbejdstidsoversigt!$E$44,"")</f>
        <v/>
      </c>
      <c r="AH22" t="str">
        <f>IF(AND(C22="Skema 1",B22="ti"),Arbejdstidsoversigt!$E$45,"")</f>
        <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8"/>
        <v>0</v>
      </c>
      <c r="BC22" s="1">
        <f t="shared" si="21"/>
        <v>0</v>
      </c>
      <c r="BD22" s="1">
        <f t="shared" si="9"/>
        <v>0</v>
      </c>
      <c r="BE22" s="1">
        <f t="shared" si="10"/>
        <v>0</v>
      </c>
      <c r="BF22" s="1">
        <f t="shared" si="11"/>
        <v>0</v>
      </c>
      <c r="BG22" s="214" t="str">
        <f>IF(AND(C22="Skema 1",B22="ma"),Skemaoplysninger!$E$30,"")</f>
        <v/>
      </c>
      <c r="BH22" s="214" t="str">
        <f>IF(AND(C22="Skema 1",B22="ti"),Skemaoplysninger!$F$30,"")</f>
        <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2"/>
        <v>0</v>
      </c>
      <c r="CC22" s="1">
        <f t="shared" si="13"/>
        <v>0</v>
      </c>
      <c r="CD22" s="214" t="str">
        <f>IF(AND(C22="Skema 1",B22="ma"),Skemaoplysninger!$E$39,"")</f>
        <v/>
      </c>
      <c r="CE22" s="214" t="str">
        <f>IF(AND(C22="Skema 1",B22="ti"),Skemaoplysninger!$F$39,"")</f>
        <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4"/>
        <v/>
      </c>
      <c r="DL22" t="str">
        <f t="shared" si="14"/>
        <v/>
      </c>
      <c r="DM22" t="str">
        <f t="shared" si="14"/>
        <v/>
      </c>
      <c r="DN22" t="str">
        <f t="shared" si="27"/>
        <v/>
      </c>
    </row>
    <row r="23" spans="1:118">
      <c r="A23" s="249">
        <f t="shared" si="15"/>
        <v>15</v>
      </c>
      <c r="B23" s="132" t="str">
        <f t="shared" si="0"/>
        <v>ma</v>
      </c>
      <c r="C23" s="133" t="s">
        <v>213</v>
      </c>
      <c r="D23" s="134">
        <f t="shared" si="1"/>
        <v>29</v>
      </c>
      <c r="E23" s="871" t="s">
        <v>114</v>
      </c>
      <c r="F23" s="872"/>
      <c r="G23" s="873"/>
      <c r="H23" s="312"/>
      <c r="I23" s="582"/>
      <c r="J23" s="440"/>
      <c r="K23" s="405"/>
      <c r="L23" s="405"/>
      <c r="M23" s="405"/>
      <c r="N23" s="334">
        <f t="shared" si="16"/>
        <v>0</v>
      </c>
      <c r="O23" s="334">
        <f t="shared" si="17"/>
        <v>0</v>
      </c>
      <c r="P23" s="334">
        <f>IF(Stamoplysninger!$H$29="JA",Juli!DG23,CX23)</f>
        <v>0</v>
      </c>
      <c r="Q23" s="334">
        <f t="shared" si="18"/>
        <v>0</v>
      </c>
      <c r="R23" s="335"/>
      <c r="S23" s="341"/>
      <c r="T23" s="342"/>
      <c r="U23" s="342"/>
      <c r="V23" s="336"/>
      <c r="W23" s="472"/>
      <c r="X23" s="337"/>
      <c r="Y23">
        <f t="shared" si="19"/>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1",B23="ma"),Arbejdstidsoversigt!$E$44,"")</f>
        <v/>
      </c>
      <c r="AH23" t="str">
        <f>IF(AND(C23="Skema 1",B23="ti"),Arbejdstidsoversigt!$E$45,"")</f>
        <v/>
      </c>
      <c r="AI23" t="str">
        <f>IF(AND(C23="Skema 1",B23="on"),Arbejdstidsoversigt!$E$46,"")</f>
        <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8"/>
        <v>0</v>
      </c>
      <c r="BC23" s="1">
        <f t="shared" si="21"/>
        <v>0</v>
      </c>
      <c r="BD23" s="1">
        <f t="shared" si="9"/>
        <v>0</v>
      </c>
      <c r="BE23" s="1">
        <f t="shared" si="10"/>
        <v>0</v>
      </c>
      <c r="BF23" s="1">
        <f t="shared" si="11"/>
        <v>0</v>
      </c>
      <c r="BG23" s="214" t="str">
        <f>IF(AND(C23="Skema 1",B23="ma"),Skemaoplysninger!$E$30,"")</f>
        <v/>
      </c>
      <c r="BH23" s="214" t="str">
        <f>IF(AND(C23="Skema 1",B23="ti"),Skemaoplysninger!$F$30,"")</f>
        <v/>
      </c>
      <c r="BI23" s="214" t="str">
        <f>IF(AND(C23="Skema 1",B23="on"),Skemaoplysninger!$G$30,"")</f>
        <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2"/>
        <v>0</v>
      </c>
      <c r="CC23" s="1">
        <f t="shared" si="13"/>
        <v>0</v>
      </c>
      <c r="CD23" s="214" t="str">
        <f>IF(AND(C23="Skema 1",B23="ma"),Skemaoplysninger!$E$39,"")</f>
        <v/>
      </c>
      <c r="CE23" s="214" t="str">
        <f>IF(AND(C23="Skema 1",B23="ti"),Skemaoplysninger!$F$39,"")</f>
        <v/>
      </c>
      <c r="CF23" s="214" t="str">
        <f>IF(AND(C23="Skema 1",B23="on"),Skemaoplysninger!$G$39,"")</f>
        <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t="str">
        <f t="shared" si="25"/>
        <v>Sommerferie</v>
      </c>
      <c r="DJ23" t="str">
        <f t="shared" si="26"/>
        <v/>
      </c>
      <c r="DK23" t="str">
        <f t="shared" si="14"/>
        <v/>
      </c>
      <c r="DL23" t="str">
        <f t="shared" si="14"/>
        <v>Sommerferie</v>
      </c>
      <c r="DM23" t="str">
        <f t="shared" si="14"/>
        <v/>
      </c>
      <c r="DN23" t="str">
        <f t="shared" si="27"/>
        <v>Sommerferie</v>
      </c>
    </row>
    <row r="24" spans="1:118">
      <c r="A24" s="249">
        <f>IF(ISNUMBER(A23),A23+1,1)</f>
        <v>16</v>
      </c>
      <c r="B24" s="132" t="str">
        <f t="shared" si="0"/>
        <v>ti</v>
      </c>
      <c r="C24" s="133" t="s">
        <v>213</v>
      </c>
      <c r="D24" s="134" t="str">
        <f t="shared" si="1"/>
        <v/>
      </c>
      <c r="E24" s="871" t="s">
        <v>114</v>
      </c>
      <c r="F24" s="872"/>
      <c r="G24" s="873"/>
      <c r="H24" s="313"/>
      <c r="I24" s="582"/>
      <c r="J24" s="440"/>
      <c r="K24" s="405"/>
      <c r="L24" s="405"/>
      <c r="M24" s="405"/>
      <c r="N24" s="334">
        <f t="shared" si="16"/>
        <v>0</v>
      </c>
      <c r="O24" s="334">
        <f t="shared" si="17"/>
        <v>0</v>
      </c>
      <c r="P24" s="334">
        <f>IF(Stamoplysninger!$H$29="JA",Juli!DG24,CX24)</f>
        <v>0</v>
      </c>
      <c r="Q24" s="334">
        <f t="shared" si="18"/>
        <v>0</v>
      </c>
      <c r="R24" s="335"/>
      <c r="S24" s="341"/>
      <c r="T24" s="342"/>
      <c r="U24" s="342"/>
      <c r="V24" s="336"/>
      <c r="W24" s="472"/>
      <c r="X24" s="337"/>
      <c r="Y24">
        <f t="shared" si="19"/>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1",B24="ma"),Arbejdstidsoversigt!$E$44,"")</f>
        <v/>
      </c>
      <c r="AH24" t="str">
        <f>IF(AND(C24="Skema 1",B24="ti"),Arbejdstidsoversigt!$E$45,"")</f>
        <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8"/>
        <v>0</v>
      </c>
      <c r="BC24" s="1">
        <f t="shared" si="21"/>
        <v>0</v>
      </c>
      <c r="BD24" s="1">
        <f t="shared" si="9"/>
        <v>0</v>
      </c>
      <c r="BE24" s="1">
        <f t="shared" si="10"/>
        <v>0</v>
      </c>
      <c r="BF24" s="1">
        <f t="shared" si="11"/>
        <v>0</v>
      </c>
      <c r="BG24" s="214" t="str">
        <f>IF(AND(C24="Skema 1",B24="ma"),Skemaoplysninger!$E$30,"")</f>
        <v/>
      </c>
      <c r="BH24" s="214" t="str">
        <f>IF(AND(C24="Skema 1",B24="ti"),Skemaoplysninger!$F$30,"")</f>
        <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2"/>
        <v>0</v>
      </c>
      <c r="CC24" s="1">
        <f t="shared" si="13"/>
        <v>0</v>
      </c>
      <c r="CD24" s="214" t="str">
        <f>IF(AND(C24="Skema 1",B24="ma"),Skemaoplysninger!$E$39,"")</f>
        <v/>
      </c>
      <c r="CE24" s="214" t="str">
        <f>IF(AND(C24="Skema 1",B24="ti"),Skemaoplysninger!$F$39,"")</f>
        <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t="str">
        <f t="shared" si="25"/>
        <v>Sommerferie</v>
      </c>
      <c r="DJ24" t="str">
        <f t="shared" si="26"/>
        <v/>
      </c>
      <c r="DK24" t="str">
        <f t="shared" si="14"/>
        <v/>
      </c>
      <c r="DL24" t="str">
        <f t="shared" si="14"/>
        <v>Sommerferie</v>
      </c>
      <c r="DM24" t="str">
        <f t="shared" si="14"/>
        <v/>
      </c>
      <c r="DN24" t="str">
        <f t="shared" si="27"/>
        <v>Sommerferie</v>
      </c>
    </row>
    <row r="25" spans="1:118">
      <c r="A25" s="249">
        <f t="shared" si="15"/>
        <v>17</v>
      </c>
      <c r="B25" s="132" t="str">
        <f t="shared" si="0"/>
        <v>on</v>
      </c>
      <c r="C25" s="133" t="s">
        <v>213</v>
      </c>
      <c r="D25" s="134" t="str">
        <f t="shared" si="1"/>
        <v/>
      </c>
      <c r="E25" s="871" t="s">
        <v>114</v>
      </c>
      <c r="F25" s="872"/>
      <c r="G25" s="873"/>
      <c r="H25" s="313"/>
      <c r="I25" s="582"/>
      <c r="J25" s="440"/>
      <c r="K25" s="405"/>
      <c r="L25" s="405"/>
      <c r="M25" s="405"/>
      <c r="N25" s="334">
        <f t="shared" si="16"/>
        <v>0</v>
      </c>
      <c r="O25" s="334">
        <f t="shared" si="17"/>
        <v>0</v>
      </c>
      <c r="P25" s="334">
        <f>IF(Stamoplysninger!$H$29="JA",Juli!DG25,CX25)</f>
        <v>0</v>
      </c>
      <c r="Q25" s="334">
        <f t="shared" si="18"/>
        <v>0</v>
      </c>
      <c r="R25" s="335"/>
      <c r="S25" s="341"/>
      <c r="T25" s="342"/>
      <c r="U25" s="342"/>
      <c r="V25" s="336"/>
      <c r="W25" s="472"/>
      <c r="X25" s="337"/>
      <c r="Y25">
        <f t="shared" si="19"/>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8"/>
        <v>0</v>
      </c>
      <c r="BC25" s="1">
        <f t="shared" si="21"/>
        <v>0</v>
      </c>
      <c r="BD25" s="1">
        <f t="shared" si="9"/>
        <v>0</v>
      </c>
      <c r="BE25" s="1">
        <f t="shared" si="10"/>
        <v>0</v>
      </c>
      <c r="BF25" s="1">
        <f t="shared" si="11"/>
        <v>0</v>
      </c>
      <c r="BG25" s="214" t="str">
        <f>IF(AND(C25="Skema 1",B25="ma"),Skemaoplysninger!$E$30,"")</f>
        <v/>
      </c>
      <c r="BH25" s="214" t="str">
        <f>IF(AND(C25="Skema 1",B25="ti"),Skemaoplysninger!$F$30,"")</f>
        <v/>
      </c>
      <c r="BI25" s="214" t="str">
        <f>IF(AND(C25="Skema 1",B25="on"),Skemaoplysninger!$G$30,"")</f>
        <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2"/>
        <v>0</v>
      </c>
      <c r="CC25" s="1">
        <f t="shared" si="13"/>
        <v>0</v>
      </c>
      <c r="CD25" s="214" t="str">
        <f>IF(AND(C25="Skema 1",B25="ma"),Skemaoplysninger!$E$39,"")</f>
        <v/>
      </c>
      <c r="CE25" s="214" t="str">
        <f>IF(AND(C25="Skema 1",B25="ti"),Skemaoplysninger!$F$39,"")</f>
        <v/>
      </c>
      <c r="CF25" s="214" t="str">
        <f>IF(AND(C25="Skema 1",B25="on"),Skemaoplysninger!$G$39,"")</f>
        <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t="str">
        <f t="shared" si="25"/>
        <v>Sommerferie</v>
      </c>
      <c r="DJ25" t="str">
        <f t="shared" si="26"/>
        <v/>
      </c>
      <c r="DK25" t="str">
        <f t="shared" si="14"/>
        <v/>
      </c>
      <c r="DL25" t="str">
        <f t="shared" si="14"/>
        <v>Sommerferie</v>
      </c>
      <c r="DM25" t="str">
        <f t="shared" si="14"/>
        <v/>
      </c>
      <c r="DN25" t="str">
        <f t="shared" si="27"/>
        <v>Sommerferie</v>
      </c>
    </row>
    <row r="26" spans="1:118">
      <c r="A26" s="249">
        <f t="shared" si="15"/>
        <v>18</v>
      </c>
      <c r="B26" s="132" t="str">
        <f t="shared" si="0"/>
        <v>to</v>
      </c>
      <c r="C26" s="133" t="s">
        <v>213</v>
      </c>
      <c r="D26" s="134" t="str">
        <f t="shared" si="1"/>
        <v/>
      </c>
      <c r="E26" s="871" t="s">
        <v>114</v>
      </c>
      <c r="F26" s="872"/>
      <c r="G26" s="873"/>
      <c r="H26" s="313"/>
      <c r="I26" s="582"/>
      <c r="J26" s="440"/>
      <c r="K26" s="405"/>
      <c r="L26" s="405"/>
      <c r="M26" s="405"/>
      <c r="N26" s="334">
        <f t="shared" si="16"/>
        <v>0</v>
      </c>
      <c r="O26" s="334">
        <f t="shared" si="17"/>
        <v>0</v>
      </c>
      <c r="P26" s="334">
        <f>IF(Stamoplysninger!$H$29="JA",Juli!DG26,CX26)</f>
        <v>0</v>
      </c>
      <c r="Q26" s="334">
        <f t="shared" si="18"/>
        <v>0</v>
      </c>
      <c r="R26" s="335"/>
      <c r="S26" s="341"/>
      <c r="T26" s="342"/>
      <c r="U26" s="342"/>
      <c r="V26" s="336"/>
      <c r="W26" s="472"/>
      <c r="X26" s="337"/>
      <c r="Y26">
        <f t="shared" si="19"/>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1",B26="ma"),Arbejdstidsoversigt!$E$44,"")</f>
        <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8"/>
        <v>0</v>
      </c>
      <c r="BC26" s="1">
        <f t="shared" si="21"/>
        <v>0</v>
      </c>
      <c r="BD26" s="1">
        <f t="shared" si="9"/>
        <v>0</v>
      </c>
      <c r="BE26" s="1">
        <f t="shared" si="10"/>
        <v>0</v>
      </c>
      <c r="BF26" s="1">
        <f t="shared" si="11"/>
        <v>0</v>
      </c>
      <c r="BG26" s="214" t="str">
        <f>IF(AND(C26="Skema 1",B26="ma"),Skemaoplysninger!$E$30,"")</f>
        <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2"/>
        <v>0</v>
      </c>
      <c r="CC26" s="1">
        <f t="shared" si="13"/>
        <v>0</v>
      </c>
      <c r="CD26" s="214" t="str">
        <f>IF(AND(C26="Skema 1",B26="ma"),Skemaoplysninger!$E$39,"")</f>
        <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t="str">
        <f t="shared" si="25"/>
        <v>Sommerferie</v>
      </c>
      <c r="DJ26" t="str">
        <f t="shared" si="26"/>
        <v/>
      </c>
      <c r="DK26" t="str">
        <f t="shared" si="14"/>
        <v/>
      </c>
      <c r="DL26" t="str">
        <f t="shared" si="14"/>
        <v>Sommerferie</v>
      </c>
      <c r="DM26" t="str">
        <f t="shared" si="14"/>
        <v/>
      </c>
      <c r="DN26" t="str">
        <f t="shared" si="27"/>
        <v>Sommerferie</v>
      </c>
    </row>
    <row r="27" spans="1:118">
      <c r="A27" s="249">
        <f t="shared" si="15"/>
        <v>19</v>
      </c>
      <c r="B27" s="132" t="str">
        <f t="shared" si="0"/>
        <v>fr</v>
      </c>
      <c r="C27" s="133" t="s">
        <v>213</v>
      </c>
      <c r="D27" s="134" t="str">
        <f t="shared" si="1"/>
        <v/>
      </c>
      <c r="E27" s="871" t="s">
        <v>114</v>
      </c>
      <c r="F27" s="872"/>
      <c r="G27" s="873"/>
      <c r="H27" s="313"/>
      <c r="I27" s="582"/>
      <c r="J27" s="440"/>
      <c r="K27" s="405"/>
      <c r="L27" s="405"/>
      <c r="M27" s="405"/>
      <c r="N27" s="334">
        <f t="shared" si="16"/>
        <v>0</v>
      </c>
      <c r="O27" s="334">
        <f t="shared" si="17"/>
        <v>0</v>
      </c>
      <c r="P27" s="334">
        <f>IF(Stamoplysninger!$H$29="JA",Juli!DG27,CX27)</f>
        <v>0</v>
      </c>
      <c r="Q27" s="334">
        <f t="shared" si="18"/>
        <v>0</v>
      </c>
      <c r="R27" s="335"/>
      <c r="S27" s="341"/>
      <c r="T27" s="342"/>
      <c r="U27" s="342"/>
      <c r="V27" s="336"/>
      <c r="W27" s="472"/>
      <c r="X27" s="337"/>
      <c r="Y27">
        <f t="shared" si="19"/>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1",B27="ma"),Arbejdstidsoversigt!$E$44,"")</f>
        <v/>
      </c>
      <c r="AH27" t="str">
        <f>IF(AND(C27="Skema 1",B27="ti"),Arbejdstidsoversigt!$E$45,"")</f>
        <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8"/>
        <v>0</v>
      </c>
      <c r="BC27" s="1">
        <f t="shared" si="21"/>
        <v>0</v>
      </c>
      <c r="BD27" s="1">
        <f t="shared" si="9"/>
        <v>0</v>
      </c>
      <c r="BE27" s="1">
        <f t="shared" si="10"/>
        <v>0</v>
      </c>
      <c r="BF27" s="1">
        <f t="shared" si="11"/>
        <v>0</v>
      </c>
      <c r="BG27" s="214" t="str">
        <f>IF(AND(C27="Skema 1",B27="ma"),Skemaoplysninger!$E$30,"")</f>
        <v/>
      </c>
      <c r="BH27" s="214" t="str">
        <f>IF(AND(C27="Skema 1",B27="ti"),Skemaoplysninger!$F$30,"")</f>
        <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2"/>
        <v>0</v>
      </c>
      <c r="CC27" s="1">
        <f t="shared" si="13"/>
        <v>0</v>
      </c>
      <c r="CD27" s="214" t="str">
        <f>IF(AND(C27="Skema 1",B27="ma"),Skemaoplysninger!$E$39,"")</f>
        <v/>
      </c>
      <c r="CE27" s="214" t="str">
        <f>IF(AND(C27="Skema 1",B27="ti"),Skemaoplysninger!$F$39,"")</f>
        <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t="str">
        <f t="shared" si="25"/>
        <v>Sommerferie</v>
      </c>
      <c r="DJ27" t="str">
        <f t="shared" si="26"/>
        <v/>
      </c>
      <c r="DK27" t="str">
        <f t="shared" si="14"/>
        <v/>
      </c>
      <c r="DL27" t="str">
        <f t="shared" si="14"/>
        <v>Sommerferie</v>
      </c>
      <c r="DM27" t="str">
        <f t="shared" si="14"/>
        <v/>
      </c>
      <c r="DN27" t="str">
        <f t="shared" si="27"/>
        <v>Sommerferie</v>
      </c>
    </row>
    <row r="28" spans="1:118">
      <c r="A28" s="249">
        <f t="shared" si="15"/>
        <v>20</v>
      </c>
      <c r="B28" s="132" t="str">
        <f t="shared" si="0"/>
        <v>lø</v>
      </c>
      <c r="C28" s="133" t="s">
        <v>121</v>
      </c>
      <c r="D28" s="134" t="str">
        <f t="shared" si="1"/>
        <v/>
      </c>
      <c r="E28" s="871"/>
      <c r="F28" s="872"/>
      <c r="G28" s="873"/>
      <c r="H28" s="313"/>
      <c r="I28" s="440"/>
      <c r="J28" s="440"/>
      <c r="K28" s="405"/>
      <c r="L28" s="405"/>
      <c r="M28" s="405"/>
      <c r="N28" s="334">
        <f t="shared" si="16"/>
        <v>0</v>
      </c>
      <c r="O28" s="334">
        <f t="shared" si="17"/>
        <v>0</v>
      </c>
      <c r="P28" s="334">
        <f>IF(Stamoplysninger!$H$29="JA",Juli!DG28,CX28)</f>
        <v>0</v>
      </c>
      <c r="Q28" s="334">
        <f t="shared" si="18"/>
        <v>0</v>
      </c>
      <c r="R28" s="335"/>
      <c r="S28" s="341"/>
      <c r="T28" s="342"/>
      <c r="U28" s="342"/>
      <c r="V28" s="336"/>
      <c r="W28" s="472"/>
      <c r="X28" s="337"/>
      <c r="Y28">
        <f t="shared" si="19"/>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1",B28="ma"),Arbejdstidsoversigt!$E$44,"")</f>
        <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8"/>
        <v>0</v>
      </c>
      <c r="BC28" s="1">
        <f t="shared" si="21"/>
        <v>0</v>
      </c>
      <c r="BD28" s="1">
        <f t="shared" si="9"/>
        <v>0</v>
      </c>
      <c r="BE28" s="1">
        <f t="shared" si="10"/>
        <v>0</v>
      </c>
      <c r="BF28" s="1">
        <f t="shared" si="11"/>
        <v>0</v>
      </c>
      <c r="BG28" s="214" t="str">
        <f>IF(AND(C28="Skema 1",B28="ma"),Skemaoplysninger!$E$30,"")</f>
        <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2"/>
        <v>0</v>
      </c>
      <c r="CC28" s="1">
        <f t="shared" si="13"/>
        <v>0</v>
      </c>
      <c r="CD28" s="214" t="str">
        <f>IF(AND(C28="Skema 1",B28="ma"),Skemaoplysninger!$E$39,"")</f>
        <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4"/>
        <v/>
      </c>
      <c r="DL28" t="str">
        <f t="shared" si="14"/>
        <v/>
      </c>
      <c r="DM28" t="str">
        <f t="shared" si="14"/>
        <v/>
      </c>
      <c r="DN28" t="str">
        <f t="shared" si="27"/>
        <v/>
      </c>
    </row>
    <row r="29" spans="1:118">
      <c r="A29" s="249">
        <f t="shared" si="15"/>
        <v>21</v>
      </c>
      <c r="B29" s="132" t="str">
        <f t="shared" si="0"/>
        <v>sø</v>
      </c>
      <c r="C29" s="133" t="s">
        <v>121</v>
      </c>
      <c r="D29" s="134" t="str">
        <f t="shared" si="1"/>
        <v/>
      </c>
      <c r="E29" s="871"/>
      <c r="F29" s="872"/>
      <c r="G29" s="873"/>
      <c r="H29" s="313"/>
      <c r="I29" s="440"/>
      <c r="J29" s="440"/>
      <c r="K29" s="405"/>
      <c r="L29" s="405"/>
      <c r="M29" s="405"/>
      <c r="N29" s="334">
        <f t="shared" si="16"/>
        <v>0</v>
      </c>
      <c r="O29" s="334">
        <f t="shared" si="17"/>
        <v>0</v>
      </c>
      <c r="P29" s="334">
        <f>IF(Stamoplysninger!$H$29="JA",Juli!DG29,CX29)</f>
        <v>0</v>
      </c>
      <c r="Q29" s="334">
        <f t="shared" si="18"/>
        <v>0</v>
      </c>
      <c r="R29" s="335"/>
      <c r="S29" s="341"/>
      <c r="T29" s="342"/>
      <c r="U29" s="342"/>
      <c r="V29" s="336"/>
      <c r="W29" s="472"/>
      <c r="X29" s="337"/>
      <c r="Y29">
        <f t="shared" si="19"/>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1",B29="ma"),Arbejdstidsoversigt!$E$44,"")</f>
        <v/>
      </c>
      <c r="AH29" t="str">
        <f>IF(AND(C29="Skema 1",B29="ti"),Arbejdstidsoversigt!$E$45,"")</f>
        <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8"/>
        <v>0</v>
      </c>
      <c r="BC29" s="1">
        <f t="shared" si="21"/>
        <v>0</v>
      </c>
      <c r="BD29" s="1">
        <f t="shared" si="9"/>
        <v>0</v>
      </c>
      <c r="BE29" s="1">
        <f t="shared" si="10"/>
        <v>0</v>
      </c>
      <c r="BF29" s="1">
        <f t="shared" si="11"/>
        <v>0</v>
      </c>
      <c r="BG29" s="214" t="str">
        <f>IF(AND(C29="Skema 1",B29="ma"),Skemaoplysninger!$E$30,"")</f>
        <v/>
      </c>
      <c r="BH29" s="214" t="str">
        <f>IF(AND(C29="Skema 1",B29="ti"),Skemaoplysninger!$F$30,"")</f>
        <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2"/>
        <v>0</v>
      </c>
      <c r="CC29" s="1">
        <f t="shared" si="13"/>
        <v>0</v>
      </c>
      <c r="CD29" s="214" t="str">
        <f>IF(AND(C29="Skema 1",B29="ma"),Skemaoplysninger!$E$39,"")</f>
        <v/>
      </c>
      <c r="CE29" s="214" t="str">
        <f>IF(AND(C29="Skema 1",B29="ti"),Skemaoplysninger!$F$39,"")</f>
        <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4"/>
        <v/>
      </c>
      <c r="DL29" t="str">
        <f t="shared" si="14"/>
        <v/>
      </c>
      <c r="DM29" t="str">
        <f t="shared" si="14"/>
        <v/>
      </c>
      <c r="DN29" t="str">
        <f t="shared" si="27"/>
        <v/>
      </c>
    </row>
    <row r="30" spans="1:118">
      <c r="A30" s="249">
        <f t="shared" si="15"/>
        <v>22</v>
      </c>
      <c r="B30" s="132" t="str">
        <f t="shared" si="0"/>
        <v>ma</v>
      </c>
      <c r="C30" s="133" t="s">
        <v>213</v>
      </c>
      <c r="D30" s="134">
        <f t="shared" si="1"/>
        <v>30</v>
      </c>
      <c r="E30" s="871" t="s">
        <v>114</v>
      </c>
      <c r="F30" s="872"/>
      <c r="G30" s="873"/>
      <c r="H30" s="313"/>
      <c r="I30" s="582"/>
      <c r="J30" s="440"/>
      <c r="K30" s="405"/>
      <c r="L30" s="405"/>
      <c r="M30" s="405"/>
      <c r="N30" s="334">
        <f t="shared" si="16"/>
        <v>0</v>
      </c>
      <c r="O30" s="334">
        <f t="shared" si="17"/>
        <v>0</v>
      </c>
      <c r="P30" s="334">
        <f>IF(Stamoplysninger!$H$29="JA",Juli!DG30,CX30)</f>
        <v>0</v>
      </c>
      <c r="Q30" s="334">
        <f t="shared" si="18"/>
        <v>0</v>
      </c>
      <c r="R30" s="335"/>
      <c r="S30" s="341"/>
      <c r="T30" s="342"/>
      <c r="U30" s="342"/>
      <c r="V30" s="336"/>
      <c r="W30" s="472"/>
      <c r="X30" s="337"/>
      <c r="Y30">
        <f t="shared" si="19"/>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1",B30="ma"),Arbejdstidsoversigt!$E$44,"")</f>
        <v/>
      </c>
      <c r="AH30" t="str">
        <f>IF(AND(C30="Skema 1",B30="ti"),Arbejdstidsoversigt!$E$45,"")</f>
        <v/>
      </c>
      <c r="AI30" t="str">
        <f>IF(AND(C30="Skema 1",B30="on"),Arbejdstidsoversigt!$E$46,"")</f>
        <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8"/>
        <v>0</v>
      </c>
      <c r="BC30" s="1">
        <f t="shared" si="21"/>
        <v>0</v>
      </c>
      <c r="BD30" s="1">
        <f t="shared" si="9"/>
        <v>0</v>
      </c>
      <c r="BE30" s="1">
        <f t="shared" si="10"/>
        <v>0</v>
      </c>
      <c r="BF30" s="1">
        <f t="shared" si="11"/>
        <v>0</v>
      </c>
      <c r="BG30" s="214" t="str">
        <f>IF(AND(C30="Skema 1",B30="ma"),Skemaoplysninger!$E$30,"")</f>
        <v/>
      </c>
      <c r="BH30" s="214" t="str">
        <f>IF(AND(C30="Skema 1",B30="ti"),Skemaoplysninger!$F$30,"")</f>
        <v/>
      </c>
      <c r="BI30" s="214" t="str">
        <f>IF(AND(C30="Skema 1",B30="on"),Skemaoplysninger!$G$30,"")</f>
        <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2"/>
        <v>0</v>
      </c>
      <c r="CC30" s="1">
        <f t="shared" si="13"/>
        <v>0</v>
      </c>
      <c r="CD30" s="214" t="str">
        <f>IF(AND(C30="Skema 1",B30="ma"),Skemaoplysninger!$E$39,"")</f>
        <v/>
      </c>
      <c r="CE30" s="214" t="str">
        <f>IF(AND(C30="Skema 1",B30="ti"),Skemaoplysninger!$F$39,"")</f>
        <v/>
      </c>
      <c r="CF30" s="214" t="str">
        <f>IF(AND(C30="Skema 1",B30="on"),Skemaoplysninger!$G$39,"")</f>
        <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t="str">
        <f t="shared" si="25"/>
        <v>Sommerferie</v>
      </c>
      <c r="DJ30" t="str">
        <f t="shared" si="26"/>
        <v/>
      </c>
      <c r="DK30" t="str">
        <f t="shared" si="14"/>
        <v/>
      </c>
      <c r="DL30" t="str">
        <f t="shared" si="14"/>
        <v>Sommerferie</v>
      </c>
      <c r="DM30" t="str">
        <f t="shared" si="14"/>
        <v/>
      </c>
      <c r="DN30" t="str">
        <f t="shared" si="27"/>
        <v>Sommerferie</v>
      </c>
    </row>
    <row r="31" spans="1:118">
      <c r="A31" s="249">
        <f t="shared" si="15"/>
        <v>23</v>
      </c>
      <c r="B31" s="132" t="str">
        <f t="shared" si="0"/>
        <v>ti</v>
      </c>
      <c r="C31" s="133" t="s">
        <v>213</v>
      </c>
      <c r="D31" s="134" t="str">
        <f t="shared" si="1"/>
        <v/>
      </c>
      <c r="E31" s="871" t="s">
        <v>114</v>
      </c>
      <c r="F31" s="872"/>
      <c r="G31" s="873"/>
      <c r="H31" s="313"/>
      <c r="I31" s="582"/>
      <c r="J31" s="440"/>
      <c r="K31" s="405"/>
      <c r="L31" s="405"/>
      <c r="M31" s="405"/>
      <c r="N31" s="334">
        <f t="shared" si="16"/>
        <v>0</v>
      </c>
      <c r="O31" s="334">
        <f t="shared" si="17"/>
        <v>0</v>
      </c>
      <c r="P31" s="334">
        <f>IF(Stamoplysninger!$H$29="JA",Juli!DG31,CX31)</f>
        <v>0</v>
      </c>
      <c r="Q31" s="334">
        <f t="shared" si="18"/>
        <v>0</v>
      </c>
      <c r="R31" s="335"/>
      <c r="S31" s="341"/>
      <c r="T31" s="342"/>
      <c r="U31" s="342"/>
      <c r="V31" s="336"/>
      <c r="W31" s="472"/>
      <c r="X31" s="337"/>
      <c r="Y31">
        <f t="shared" si="19"/>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1",B31="ma"),Arbejdstidsoversigt!$E$44,"")</f>
        <v/>
      </c>
      <c r="AH31" t="str">
        <f>IF(AND(C31="Skema 1",B31="ti"),Arbejdstidsoversigt!$E$45,"")</f>
        <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8"/>
        <v>0</v>
      </c>
      <c r="BC31" s="1">
        <f t="shared" si="21"/>
        <v>0</v>
      </c>
      <c r="BD31" s="1">
        <f t="shared" si="9"/>
        <v>0</v>
      </c>
      <c r="BE31" s="1">
        <f t="shared" si="10"/>
        <v>0</v>
      </c>
      <c r="BF31" s="1">
        <f t="shared" si="11"/>
        <v>0</v>
      </c>
      <c r="BG31" s="214" t="str">
        <f>IF(AND(C31="Skema 1",B31="ma"),Skemaoplysninger!$E$30,"")</f>
        <v/>
      </c>
      <c r="BH31" s="214" t="str">
        <f>IF(AND(C31="Skema 1",B31="ti"),Skemaoplysninger!$F$30,"")</f>
        <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2"/>
        <v>0</v>
      </c>
      <c r="CC31" s="1">
        <f t="shared" si="13"/>
        <v>0</v>
      </c>
      <c r="CD31" s="214" t="str">
        <f>IF(AND(C31="Skema 1",B31="ma"),Skemaoplysninger!$E$39,"")</f>
        <v/>
      </c>
      <c r="CE31" s="214" t="str">
        <f>IF(AND(C31="Skema 1",B31="ti"),Skemaoplysninger!$F$39,"")</f>
        <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t="str">
        <f t="shared" si="25"/>
        <v>Sommerferie</v>
      </c>
      <c r="DJ31" t="str">
        <f t="shared" si="26"/>
        <v/>
      </c>
      <c r="DK31" t="str">
        <f t="shared" si="14"/>
        <v/>
      </c>
      <c r="DL31" t="str">
        <f t="shared" si="14"/>
        <v>Sommerferie</v>
      </c>
      <c r="DM31" t="str">
        <f t="shared" si="14"/>
        <v/>
      </c>
      <c r="DN31" t="str">
        <f t="shared" si="27"/>
        <v>Sommerferie</v>
      </c>
    </row>
    <row r="32" spans="1:118">
      <c r="A32" s="249">
        <f t="shared" si="15"/>
        <v>24</v>
      </c>
      <c r="B32" s="132" t="str">
        <f t="shared" si="0"/>
        <v>on</v>
      </c>
      <c r="C32" s="133" t="s">
        <v>213</v>
      </c>
      <c r="D32" s="134" t="str">
        <f t="shared" si="1"/>
        <v/>
      </c>
      <c r="E32" s="868" t="s">
        <v>114</v>
      </c>
      <c r="F32" s="869"/>
      <c r="G32" s="870"/>
      <c r="H32" s="313"/>
      <c r="I32" s="582"/>
      <c r="J32" s="440"/>
      <c r="K32" s="405"/>
      <c r="L32" s="405"/>
      <c r="M32" s="405"/>
      <c r="N32" s="334">
        <f t="shared" si="16"/>
        <v>0</v>
      </c>
      <c r="O32" s="334">
        <f t="shared" si="17"/>
        <v>0</v>
      </c>
      <c r="P32" s="334">
        <f>IF(Stamoplysninger!$H$29="JA",Juli!DG32,CX32)</f>
        <v>0</v>
      </c>
      <c r="Q32" s="334">
        <f t="shared" si="18"/>
        <v>0</v>
      </c>
      <c r="R32" s="335"/>
      <c r="S32" s="341"/>
      <c r="T32" s="342"/>
      <c r="U32" s="342"/>
      <c r="V32" s="336"/>
      <c r="W32" s="472"/>
      <c r="X32" s="337"/>
      <c r="Y32">
        <f t="shared" si="19"/>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1",B32="ma"),Arbejdstidsoversigt!$E$44,"")</f>
        <v/>
      </c>
      <c r="AH32" t="str">
        <f>IF(AND(C32="Skema 1",B32="ti"),Arbejdstidsoversigt!$E$45,"")</f>
        <v/>
      </c>
      <c r="AI32" t="str">
        <f>IF(AND(C32="Skema 1",B32="on"),Arbejdstidsoversigt!$E$46,"")</f>
        <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8"/>
        <v>0</v>
      </c>
      <c r="BC32" s="1">
        <f t="shared" si="21"/>
        <v>0</v>
      </c>
      <c r="BD32" s="1">
        <f t="shared" si="9"/>
        <v>0</v>
      </c>
      <c r="BE32" s="1">
        <f t="shared" si="10"/>
        <v>0</v>
      </c>
      <c r="BF32" s="1">
        <f t="shared" si="11"/>
        <v>0</v>
      </c>
      <c r="BG32" s="214" t="str">
        <f>IF(AND(C32="Skema 1",B32="ma"),Skemaoplysninger!$E$30,"")</f>
        <v/>
      </c>
      <c r="BH32" s="214" t="str">
        <f>IF(AND(C32="Skema 1",B32="ti"),Skemaoplysninger!$F$30,"")</f>
        <v/>
      </c>
      <c r="BI32" s="214" t="str">
        <f>IF(AND(C32="Skema 1",B32="on"),Skemaoplysninger!$G$30,"")</f>
        <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2"/>
        <v>0</v>
      </c>
      <c r="CC32" s="1">
        <f t="shared" si="13"/>
        <v>0</v>
      </c>
      <c r="CD32" s="214" t="str">
        <f>IF(AND(C32="Skema 1",B32="ma"),Skemaoplysninger!$E$39,"")</f>
        <v/>
      </c>
      <c r="CE32" s="214" t="str">
        <f>IF(AND(C32="Skema 1",B32="ti"),Skemaoplysninger!$F$39,"")</f>
        <v/>
      </c>
      <c r="CF32" s="214" t="str">
        <f>IF(AND(C32="Skema 1",B32="on"),Skemaoplysninger!$G$39,"")</f>
        <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t="str">
        <f t="shared" si="25"/>
        <v>Sommerferie</v>
      </c>
      <c r="DJ32" t="str">
        <f t="shared" si="26"/>
        <v/>
      </c>
      <c r="DK32" t="str">
        <f t="shared" si="14"/>
        <v/>
      </c>
      <c r="DL32" t="str">
        <f t="shared" si="14"/>
        <v>Sommerferie</v>
      </c>
      <c r="DM32" t="str">
        <f t="shared" si="14"/>
        <v/>
      </c>
      <c r="DN32" t="str">
        <f t="shared" si="27"/>
        <v>Sommerferie</v>
      </c>
    </row>
    <row r="33" spans="1:118">
      <c r="A33" s="249">
        <f t="shared" si="15"/>
        <v>25</v>
      </c>
      <c r="B33" s="132" t="str">
        <f t="shared" si="0"/>
        <v>to</v>
      </c>
      <c r="C33" s="133" t="s">
        <v>213</v>
      </c>
      <c r="D33" s="134" t="str">
        <f t="shared" si="1"/>
        <v/>
      </c>
      <c r="E33" s="871" t="s">
        <v>114</v>
      </c>
      <c r="F33" s="872"/>
      <c r="G33" s="873"/>
      <c r="H33" s="313"/>
      <c r="I33" s="582"/>
      <c r="J33" s="440"/>
      <c r="K33" s="405"/>
      <c r="L33" s="405"/>
      <c r="M33" s="405"/>
      <c r="N33" s="334">
        <f t="shared" si="16"/>
        <v>0</v>
      </c>
      <c r="O33" s="334">
        <f t="shared" si="17"/>
        <v>0</v>
      </c>
      <c r="P33" s="334">
        <f>IF(Stamoplysninger!$H$29="JA",Juli!DG33,CX33)</f>
        <v>0</v>
      </c>
      <c r="Q33" s="334">
        <f t="shared" si="18"/>
        <v>0</v>
      </c>
      <c r="R33" s="335"/>
      <c r="S33" s="341"/>
      <c r="T33" s="342"/>
      <c r="U33" s="342"/>
      <c r="V33" s="336"/>
      <c r="W33" s="472"/>
      <c r="X33" s="337"/>
      <c r="Y33">
        <f t="shared" si="19"/>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1",B33="ma"),Arbejdstidsoversigt!$E$44,"")</f>
        <v/>
      </c>
      <c r="AH33" t="str">
        <f>IF(AND(C33="Skema 1",B33="ti"),Arbejdstidsoversigt!$E$45,"")</f>
        <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8"/>
        <v>0</v>
      </c>
      <c r="BC33" s="1">
        <f t="shared" si="21"/>
        <v>0</v>
      </c>
      <c r="BD33" s="1">
        <f t="shared" si="9"/>
        <v>0</v>
      </c>
      <c r="BE33" s="1">
        <f t="shared" si="10"/>
        <v>0</v>
      </c>
      <c r="BF33" s="1">
        <f t="shared" si="11"/>
        <v>0</v>
      </c>
      <c r="BG33" s="214" t="str">
        <f>IF(AND(C33="Skema 1",B33="ma"),Skemaoplysninger!$E$30,"")</f>
        <v/>
      </c>
      <c r="BH33" s="214" t="str">
        <f>IF(AND(C33="Skema 1",B33="ti"),Skemaoplysninger!$F$30,"")</f>
        <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2"/>
        <v>0</v>
      </c>
      <c r="CC33" s="1">
        <f t="shared" si="13"/>
        <v>0</v>
      </c>
      <c r="CD33" s="214" t="str">
        <f>IF(AND(C33="Skema 1",B33="ma"),Skemaoplysninger!$E$39,"")</f>
        <v/>
      </c>
      <c r="CE33" s="214" t="str">
        <f>IF(AND(C33="Skema 1",B33="ti"),Skemaoplysninger!$F$39,"")</f>
        <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t="str">
        <f t="shared" si="25"/>
        <v>Sommerferie</v>
      </c>
      <c r="DJ33" t="str">
        <f t="shared" si="26"/>
        <v/>
      </c>
      <c r="DK33" t="str">
        <f t="shared" si="14"/>
        <v/>
      </c>
      <c r="DL33" t="str">
        <f t="shared" si="14"/>
        <v>Sommerferie</v>
      </c>
      <c r="DM33" t="str">
        <f t="shared" si="14"/>
        <v/>
      </c>
      <c r="DN33" t="str">
        <f t="shared" si="27"/>
        <v>Sommerferie</v>
      </c>
    </row>
    <row r="34" spans="1:118">
      <c r="A34" s="249">
        <f t="shared" si="15"/>
        <v>26</v>
      </c>
      <c r="B34" s="132" t="str">
        <f t="shared" si="0"/>
        <v>fr</v>
      </c>
      <c r="C34" s="133" t="s">
        <v>213</v>
      </c>
      <c r="D34" s="134" t="str">
        <f t="shared" si="1"/>
        <v/>
      </c>
      <c r="E34" s="871" t="s">
        <v>114</v>
      </c>
      <c r="F34" s="872"/>
      <c r="G34" s="873"/>
      <c r="H34" s="313"/>
      <c r="I34" s="582"/>
      <c r="J34" s="440"/>
      <c r="K34" s="405"/>
      <c r="L34" s="405"/>
      <c r="M34" s="405"/>
      <c r="N34" s="334">
        <f t="shared" si="16"/>
        <v>0</v>
      </c>
      <c r="O34" s="334">
        <f t="shared" si="17"/>
        <v>0</v>
      </c>
      <c r="P34" s="334">
        <f>IF(Stamoplysninger!$H$29="JA",Juli!DG34,CX34)</f>
        <v>0</v>
      </c>
      <c r="Q34" s="334">
        <f t="shared" si="18"/>
        <v>0</v>
      </c>
      <c r="R34" s="335"/>
      <c r="S34" s="341"/>
      <c r="T34" s="342"/>
      <c r="U34" s="342"/>
      <c r="V34" s="336"/>
      <c r="W34" s="472"/>
      <c r="X34" s="337"/>
      <c r="Y34">
        <f t="shared" si="19"/>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1",B34="ma"),Arbejdstidsoversigt!$E$44,"")</f>
        <v/>
      </c>
      <c r="AH34" t="str">
        <f>IF(AND(C34="Skema 1",B34="ti"),Arbejdstidsoversigt!$E$45,"")</f>
        <v/>
      </c>
      <c r="AI34" t="str">
        <f>IF(AND(C34="Skema 1",B34="on"),Arbejdstidsoversigt!$E$46,"")</f>
        <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8"/>
        <v>0</v>
      </c>
      <c r="BC34" s="1">
        <f t="shared" si="21"/>
        <v>0</v>
      </c>
      <c r="BD34" s="1">
        <f t="shared" si="9"/>
        <v>0</v>
      </c>
      <c r="BE34" s="1">
        <f t="shared" si="10"/>
        <v>0</v>
      </c>
      <c r="BF34" s="1">
        <f t="shared" si="11"/>
        <v>0</v>
      </c>
      <c r="BG34" s="214" t="str">
        <f>IF(AND(C34="Skema 1",B34="ma"),Skemaoplysninger!$E$30,"")</f>
        <v/>
      </c>
      <c r="BH34" s="214" t="str">
        <f>IF(AND(C34="Skema 1",B34="ti"),Skemaoplysninger!$F$30,"")</f>
        <v/>
      </c>
      <c r="BI34" s="214" t="str">
        <f>IF(AND(C34="Skema 1",B34="on"),Skemaoplysninger!$G$30,"")</f>
        <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2"/>
        <v>0</v>
      </c>
      <c r="CC34" s="1">
        <f t="shared" si="13"/>
        <v>0</v>
      </c>
      <c r="CD34" s="214" t="str">
        <f>IF(AND(C34="Skema 1",B34="ma"),Skemaoplysninger!$E$39,"")</f>
        <v/>
      </c>
      <c r="CE34" s="214" t="str">
        <f>IF(AND(C34="Skema 1",B34="ti"),Skemaoplysninger!$F$39,"")</f>
        <v/>
      </c>
      <c r="CF34" s="214" t="str">
        <f>IF(AND(C34="Skema 1",B34="on"),Skemaoplysninger!$G$39,"")</f>
        <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t="str">
        <f t="shared" si="25"/>
        <v>Sommerferie</v>
      </c>
      <c r="DJ34" t="str">
        <f t="shared" si="26"/>
        <v/>
      </c>
      <c r="DK34" t="str">
        <f t="shared" si="14"/>
        <v/>
      </c>
      <c r="DL34" t="str">
        <f t="shared" si="14"/>
        <v>Sommerferie</v>
      </c>
      <c r="DM34" t="str">
        <f t="shared" si="14"/>
        <v/>
      </c>
      <c r="DN34" t="str">
        <f t="shared" si="27"/>
        <v>Sommerferie</v>
      </c>
    </row>
    <row r="35" spans="1:118">
      <c r="A35" s="249">
        <f t="shared" si="15"/>
        <v>27</v>
      </c>
      <c r="B35" s="132" t="str">
        <f t="shared" si="0"/>
        <v>lø</v>
      </c>
      <c r="C35" s="133" t="s">
        <v>121</v>
      </c>
      <c r="D35" s="134" t="str">
        <f t="shared" si="1"/>
        <v/>
      </c>
      <c r="E35" s="871"/>
      <c r="F35" s="872"/>
      <c r="G35" s="873"/>
      <c r="H35" s="313"/>
      <c r="I35" s="440"/>
      <c r="J35" s="440"/>
      <c r="K35" s="405"/>
      <c r="L35" s="405"/>
      <c r="M35" s="405"/>
      <c r="N35" s="334">
        <f t="shared" si="16"/>
        <v>0</v>
      </c>
      <c r="O35" s="334">
        <f t="shared" si="17"/>
        <v>0</v>
      </c>
      <c r="P35" s="334">
        <f>IF(Stamoplysninger!$H$29="JA",Juli!DG35,CX35)</f>
        <v>0</v>
      </c>
      <c r="Q35" s="334">
        <f t="shared" si="18"/>
        <v>0</v>
      </c>
      <c r="R35" s="335"/>
      <c r="S35" s="341"/>
      <c r="T35" s="342"/>
      <c r="U35" s="342"/>
      <c r="V35" s="336"/>
      <c r="W35" s="472"/>
      <c r="X35" s="337"/>
      <c r="Y35">
        <f t="shared" si="19"/>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1",B35="ma"),Arbejdstidsoversigt!$E$44,"")</f>
        <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0</v>
      </c>
      <c r="BB35" s="233">
        <f t="shared" si="8"/>
        <v>0</v>
      </c>
      <c r="BC35" s="1">
        <f t="shared" si="21"/>
        <v>0</v>
      </c>
      <c r="BD35" s="1">
        <f t="shared" si="9"/>
        <v>0</v>
      </c>
      <c r="BE35" s="1">
        <f t="shared" si="10"/>
        <v>0</v>
      </c>
      <c r="BF35" s="1">
        <f t="shared" si="11"/>
        <v>0</v>
      </c>
      <c r="BG35" s="214" t="str">
        <f>IF(AND(C35="Skema 1",B35="ma"),Skemaoplysninger!$E$30,"")</f>
        <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2"/>
        <v>0</v>
      </c>
      <c r="CC35" s="1">
        <f t="shared" si="13"/>
        <v>0</v>
      </c>
      <c r="CD35" s="214" t="str">
        <f>IF(AND(C35="Skema 1",B35="ma"),Skemaoplysninger!$E$39,"")</f>
        <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4"/>
        <v/>
      </c>
      <c r="DL35" t="str">
        <f t="shared" si="14"/>
        <v/>
      </c>
      <c r="DM35" t="str">
        <f t="shared" si="14"/>
        <v/>
      </c>
      <c r="DN35" t="str">
        <f t="shared" si="27"/>
        <v/>
      </c>
    </row>
    <row r="36" spans="1:118">
      <c r="A36" s="249">
        <f t="shared" si="15"/>
        <v>28</v>
      </c>
      <c r="B36" s="132" t="str">
        <f t="shared" si="0"/>
        <v>sø</v>
      </c>
      <c r="C36" s="133" t="s">
        <v>121</v>
      </c>
      <c r="D36" s="134" t="str">
        <f t="shared" si="1"/>
        <v/>
      </c>
      <c r="E36" s="871"/>
      <c r="F36" s="872"/>
      <c r="G36" s="873"/>
      <c r="H36" s="313"/>
      <c r="I36" s="440"/>
      <c r="J36" s="440"/>
      <c r="K36" s="405"/>
      <c r="L36" s="405"/>
      <c r="M36" s="405"/>
      <c r="N36" s="334">
        <f t="shared" si="16"/>
        <v>0</v>
      </c>
      <c r="O36" s="334">
        <f t="shared" si="17"/>
        <v>0</v>
      </c>
      <c r="P36" s="334">
        <f>IF(Stamoplysninger!$H$29="JA",Juli!DG36,CX36)</f>
        <v>0</v>
      </c>
      <c r="Q36" s="334">
        <f t="shared" si="18"/>
        <v>0</v>
      </c>
      <c r="R36" s="335"/>
      <c r="S36" s="341"/>
      <c r="T36" s="342"/>
      <c r="U36" s="342"/>
      <c r="V36" s="336"/>
      <c r="W36" s="472"/>
      <c r="X36" s="337"/>
      <c r="Y36">
        <f t="shared" si="19"/>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1",B36="ma"),Arbejdstidsoversigt!$E$44,"")</f>
        <v/>
      </c>
      <c r="AH36" t="str">
        <f>IF(AND(C36="Skema 1",B36="ti"),Arbejdstidsoversigt!$E$45,"")</f>
        <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8"/>
        <v>0</v>
      </c>
      <c r="BC36" s="1">
        <f t="shared" si="21"/>
        <v>0</v>
      </c>
      <c r="BD36" s="1">
        <f t="shared" si="9"/>
        <v>0</v>
      </c>
      <c r="BE36" s="1">
        <f t="shared" si="10"/>
        <v>0</v>
      </c>
      <c r="BF36" s="1">
        <f t="shared" si="11"/>
        <v>0</v>
      </c>
      <c r="BG36" s="214" t="str">
        <f>IF(AND(C36="Skema 1",B36="ma"),Skemaoplysninger!$E$30,"")</f>
        <v/>
      </c>
      <c r="BH36" s="214" t="str">
        <f>IF(AND(C36="Skema 1",B36="ti"),Skemaoplysninger!$F$30,"")</f>
        <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2"/>
        <v>0</v>
      </c>
      <c r="CC36" s="1">
        <f t="shared" si="13"/>
        <v>0</v>
      </c>
      <c r="CD36" s="214" t="str">
        <f>IF(AND(C36="Skema 1",B36="ma"),Skemaoplysninger!$E$39,"")</f>
        <v/>
      </c>
      <c r="CE36" s="214" t="str">
        <f>IF(AND(C36="Skema 1",B36="ti"),Skemaoplysninger!$F$39,"")</f>
        <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4"/>
        <v/>
      </c>
      <c r="DL36" t="str">
        <f t="shared" si="14"/>
        <v/>
      </c>
      <c r="DM36" t="str">
        <f t="shared" si="14"/>
        <v/>
      </c>
      <c r="DN36" t="str">
        <f t="shared" si="27"/>
        <v/>
      </c>
    </row>
    <row r="37" spans="1:118">
      <c r="A37" s="249">
        <f>IF(ISNUMBER(A36),A36+1,1)</f>
        <v>29</v>
      </c>
      <c r="B37" s="132" t="str">
        <f t="shared" si="0"/>
        <v>ma</v>
      </c>
      <c r="C37" s="133" t="s">
        <v>213</v>
      </c>
      <c r="D37" s="134">
        <f t="shared" si="1"/>
        <v>31</v>
      </c>
      <c r="E37" s="871" t="s">
        <v>114</v>
      </c>
      <c r="F37" s="872"/>
      <c r="G37" s="873"/>
      <c r="H37" s="313"/>
      <c r="I37" s="582"/>
      <c r="J37" s="440"/>
      <c r="K37" s="405"/>
      <c r="L37" s="405"/>
      <c r="M37" s="405"/>
      <c r="N37" s="334">
        <f t="shared" si="16"/>
        <v>0</v>
      </c>
      <c r="O37" s="334">
        <f t="shared" si="17"/>
        <v>0</v>
      </c>
      <c r="P37" s="334">
        <f>IF(Stamoplysninger!$H$29="JA",Juli!DG37,CX37)</f>
        <v>0</v>
      </c>
      <c r="Q37" s="334">
        <f t="shared" si="18"/>
        <v>0</v>
      </c>
      <c r="R37" s="335"/>
      <c r="S37" s="341"/>
      <c r="T37" s="342"/>
      <c r="U37" s="342"/>
      <c r="V37" s="336"/>
      <c r="W37" s="472"/>
      <c r="X37" s="337"/>
      <c r="Y37">
        <f t="shared" si="19"/>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1",B37="ma"),Arbejdstidsoversigt!$E$44,"")</f>
        <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0</v>
      </c>
      <c r="BB37" s="233">
        <f t="shared" si="8"/>
        <v>0</v>
      </c>
      <c r="BC37" s="1">
        <f t="shared" si="21"/>
        <v>0</v>
      </c>
      <c r="BD37" s="1">
        <f t="shared" si="9"/>
        <v>0</v>
      </c>
      <c r="BE37" s="1">
        <f t="shared" si="10"/>
        <v>0</v>
      </c>
      <c r="BF37" s="1">
        <f t="shared" si="11"/>
        <v>0</v>
      </c>
      <c r="BG37" s="214" t="str">
        <f>IF(AND(C37="Skema 1",B37="ma"),Skemaoplysninger!$E$30,"")</f>
        <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2"/>
        <v>0</v>
      </c>
      <c r="CC37" s="1">
        <f t="shared" si="13"/>
        <v>0</v>
      </c>
      <c r="CD37" s="214" t="str">
        <f>IF(AND(C37="Skema 1",B37="ma"),Skemaoplysninger!$E$39,"")</f>
        <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t="str">
        <f t="shared" si="25"/>
        <v>Sommerferie</v>
      </c>
      <c r="DJ37" t="str">
        <f t="shared" si="26"/>
        <v/>
      </c>
      <c r="DK37" t="str">
        <f t="shared" si="14"/>
        <v/>
      </c>
      <c r="DL37" t="str">
        <f t="shared" si="14"/>
        <v>Sommerferie</v>
      </c>
      <c r="DM37" t="str">
        <f t="shared" si="14"/>
        <v/>
      </c>
      <c r="DN37" t="str">
        <f t="shared" si="27"/>
        <v>Sommerferie</v>
      </c>
    </row>
    <row r="38" spans="1:118">
      <c r="A38" s="249">
        <f t="shared" si="15"/>
        <v>30</v>
      </c>
      <c r="B38" s="132" t="str">
        <f t="shared" si="0"/>
        <v>ti</v>
      </c>
      <c r="C38" s="133" t="s">
        <v>213</v>
      </c>
      <c r="D38" s="134" t="str">
        <f t="shared" si="1"/>
        <v/>
      </c>
      <c r="E38" s="871" t="s">
        <v>114</v>
      </c>
      <c r="F38" s="872"/>
      <c r="G38" s="873"/>
      <c r="H38" s="313"/>
      <c r="I38" s="582"/>
      <c r="J38" s="440"/>
      <c r="K38" s="405"/>
      <c r="L38" s="405"/>
      <c r="M38" s="405"/>
      <c r="N38" s="334">
        <f t="shared" si="16"/>
        <v>0</v>
      </c>
      <c r="O38" s="334">
        <f t="shared" si="17"/>
        <v>0</v>
      </c>
      <c r="P38" s="334">
        <f>IF(Stamoplysninger!$H$29="JA",Juli!DG38,CX38)</f>
        <v>0</v>
      </c>
      <c r="Q38" s="334">
        <f t="shared" si="18"/>
        <v>0</v>
      </c>
      <c r="R38" s="335"/>
      <c r="S38" s="341"/>
      <c r="T38" s="342"/>
      <c r="U38" s="471"/>
      <c r="V38" s="336"/>
      <c r="W38" s="472"/>
      <c r="X38" s="337"/>
      <c r="Y38">
        <f t="shared" si="19"/>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1",B38="ma"),Arbejdstidsoversigt!$E$44,"")</f>
        <v/>
      </c>
      <c r="AH38" t="str">
        <f>IF(AND(C38="Skema 1",B38="ti"),Arbejdstidsoversigt!$E$45,"")</f>
        <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0</v>
      </c>
      <c r="BB38" s="233">
        <f t="shared" si="8"/>
        <v>0</v>
      </c>
      <c r="BC38" s="1">
        <f t="shared" si="21"/>
        <v>0</v>
      </c>
      <c r="BD38" s="1">
        <f t="shared" si="9"/>
        <v>0</v>
      </c>
      <c r="BE38" s="1">
        <f t="shared" si="10"/>
        <v>0</v>
      </c>
      <c r="BF38" s="1">
        <f t="shared" si="11"/>
        <v>0</v>
      </c>
      <c r="BG38" s="214" t="str">
        <f>IF(AND(C38="Skema 1",B38="ma"),Skemaoplysninger!$E$30,"")</f>
        <v/>
      </c>
      <c r="BH38" s="214" t="str">
        <f>IF(AND(C38="Skema 1",B38="ti"),Skemaoplysninger!$F$30,"")</f>
        <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3",B38="ti"),Arbejdstidsoversigt!#REF!,"")</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2"/>
        <v>0</v>
      </c>
      <c r="CC38" s="1">
        <f t="shared" si="13"/>
        <v>0</v>
      </c>
      <c r="CD38" s="214" t="str">
        <f>IF(AND(C38="Skema 1",B38="ma"),Skemaoplysninger!$E$39,"")</f>
        <v/>
      </c>
      <c r="CE38" s="214" t="str">
        <f>IF(AND(C38="Skema 1",B38="ti"),Skemaoplysninger!$F$39,"")</f>
        <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t="str">
        <f t="shared" si="25"/>
        <v>Sommerferie</v>
      </c>
      <c r="DJ38" t="str">
        <f t="shared" si="26"/>
        <v/>
      </c>
      <c r="DK38" t="str">
        <f t="shared" si="14"/>
        <v/>
      </c>
      <c r="DL38" t="str">
        <f t="shared" si="14"/>
        <v>Sommerferie</v>
      </c>
      <c r="DM38" t="str">
        <f t="shared" si="14"/>
        <v/>
      </c>
      <c r="DN38" t="str">
        <f t="shared" si="27"/>
        <v>Sommerferie</v>
      </c>
    </row>
    <row r="39" spans="1:118">
      <c r="A39" s="249">
        <f>IF(ISNUMBER(A38),A38+1,1)</f>
        <v>31</v>
      </c>
      <c r="B39" s="132" t="str">
        <f t="shared" si="0"/>
        <v>on</v>
      </c>
      <c r="C39" s="133" t="s">
        <v>213</v>
      </c>
      <c r="D39" s="134" t="str">
        <f t="shared" si="1"/>
        <v/>
      </c>
      <c r="E39" s="868" t="s">
        <v>114</v>
      </c>
      <c r="F39" s="869"/>
      <c r="G39" s="870"/>
      <c r="H39" s="312"/>
      <c r="I39" s="582"/>
      <c r="J39" s="440"/>
      <c r="K39" s="405"/>
      <c r="L39" s="405"/>
      <c r="M39" s="405"/>
      <c r="N39" s="334">
        <f t="shared" si="16"/>
        <v>0</v>
      </c>
      <c r="O39" s="334">
        <f t="shared" si="17"/>
        <v>0</v>
      </c>
      <c r="P39" s="334">
        <f>IF(Stamoplysninger!$H$29="JA",Juli!DG39,CX39)</f>
        <v>0</v>
      </c>
      <c r="Q39" s="334">
        <f t="shared" si="18"/>
        <v>0</v>
      </c>
      <c r="R39" s="335"/>
      <c r="S39" s="341"/>
      <c r="T39" s="342"/>
      <c r="U39" s="218"/>
      <c r="V39" s="336"/>
      <c r="W39" s="472"/>
      <c r="X39" s="473"/>
      <c r="Y39">
        <f t="shared" si="19"/>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1",B39="ma"),Arbejdstidsoversigt!$E$44,"")</f>
        <v/>
      </c>
      <c r="AH39" t="str">
        <f>IF(AND(C39="Skema 1",B39="ti"),Arbejdstidsoversigt!$E$45,"")</f>
        <v/>
      </c>
      <c r="AI39" t="str">
        <f>IF(AND(C39="Skema 1",B39="on"),Arbejdstidsoversigt!$E$46,"")</f>
        <v/>
      </c>
      <c r="AJ39" t="str">
        <f>IF(AND(C39="Skema 1",B39="to"),Arbejdstidsoversigt!$E$47,"")</f>
        <v/>
      </c>
      <c r="AK39" t="str">
        <f>IF(AND(C39="Skema 1",B39="fr"),Arbejdstidsoversigt!$E$48,"")</f>
        <v/>
      </c>
      <c r="AL39" t="str">
        <f>IF(AND(C39="Skema 2",B39="ma"),Arbejdstidsoversigt!$E$53,"")</f>
        <v/>
      </c>
      <c r="AM39" t="str">
        <f>IF(AND(C39="Skema 2",B39="ti"),Arbejdstidsoversigt!$E$54,"")</f>
        <v/>
      </c>
      <c r="AN39" t="str">
        <f>IF(AND(C39="Skema 2",B39="on"),Arbejdstidsoversigt!$E$55,"")</f>
        <v/>
      </c>
      <c r="AO39" t="str">
        <f>IF(AND(C39="Skema 2",B39="to"),Arbejdstidsoversigt!$E$56,"")</f>
        <v/>
      </c>
      <c r="AP39" t="str">
        <f>IF(AND(C39="Skema 2",B39="fr"),Arbejdstidsoversigt!$E$57,"")</f>
        <v/>
      </c>
      <c r="AQ39" t="str">
        <f>IF(AND(C39="Skema 3",B39="ma"),Arbejdstidsoversigt!$E$62,"")</f>
        <v/>
      </c>
      <c r="AR39" t="str">
        <f>IF(AND(C39="Skema 3",B39="ti"),Arbejdstidsoversigt!$E$63,"")</f>
        <v/>
      </c>
      <c r="AS39" t="str">
        <f>IF(AND(C39="Skema 3",B39="on"),Arbejdstidsoversigt!$E$64,"")</f>
        <v/>
      </c>
      <c r="AT39" t="str">
        <f>IF(AND(C39="Skema 3",B39="to"),Arbejdstidsoversigt!$E$65,"")</f>
        <v/>
      </c>
      <c r="AU39" t="str">
        <f>IF(AND(C39="Skema 3",B39="fr"),Arbejdstidsoversigt!$E$66,"")</f>
        <v/>
      </c>
      <c r="AV39" t="str">
        <f>IF(AND(C39="Skema 4",B39="ma"),Arbejdstidsoversigt!$E$71,"")</f>
        <v/>
      </c>
      <c r="AW39" t="str">
        <f>IF(AND(C39="Skema 4",B39="ti"),Arbejdstidsoversigt!$E$72,"")</f>
        <v/>
      </c>
      <c r="AX39" t="str">
        <f>IF(AND(C39="Skema 4",B39="on"),Arbejdstidsoversigt!$E$73,"")</f>
        <v/>
      </c>
      <c r="AY39" t="str">
        <f>IF(AND(C39="Skema 4",B39="to"),Arbejdstidsoversigt!$E$74,"")</f>
        <v/>
      </c>
      <c r="AZ39" t="str">
        <f>IF(AND(C39="Skema 4",B39="fr"),Arbejdstidsoversigt!$E$75,"")</f>
        <v/>
      </c>
      <c r="BA39" s="1">
        <f t="shared" si="20"/>
        <v>0</v>
      </c>
      <c r="BB39" s="233">
        <f t="shared" si="8"/>
        <v>0</v>
      </c>
      <c r="BC39" s="1">
        <f t="shared" si="21"/>
        <v>0</v>
      </c>
      <c r="BD39" s="1">
        <f t="shared" si="9"/>
        <v>0</v>
      </c>
      <c r="BE39" s="1">
        <f t="shared" si="10"/>
        <v>0</v>
      </c>
      <c r="BF39" s="1">
        <f t="shared" si="11"/>
        <v>0</v>
      </c>
      <c r="BG39" s="214" t="str">
        <f>IF(AND(C39="Skema 1",B39="ma"),Skemaoplysninger!$E$30,"")</f>
        <v/>
      </c>
      <c r="BH39" s="214" t="str">
        <f>IF(AND(C39="Skema 1",B39="ti"),Skemaoplysninger!$F$30,"")</f>
        <v/>
      </c>
      <c r="BI39" s="214" t="str">
        <f>IF(AND(C39="Skema 1",B39="on"),Skemaoplysninger!$G$30,"")</f>
        <v/>
      </c>
      <c r="BJ39" s="214" t="str">
        <f>IF(AND(C39="Skema 1",B39="to"),Skemaoplysninger!$H$30,"")</f>
        <v/>
      </c>
      <c r="BK39" s="214" t="str">
        <f>IF(AND(C39="Skema 1",B39="fr"),Skemaoplysninger!$I$30,"")</f>
        <v/>
      </c>
      <c r="BL39" s="214" t="str">
        <f>IF(AND(C39="Skema 2",B39="ma"),Skemaoplysninger!$O$30,"")</f>
        <v/>
      </c>
      <c r="BM39" s="214" t="str">
        <f>IF(AND(C39="Skema 2",B39="ti"),Skemaoplysninger!$P$30,"")</f>
        <v/>
      </c>
      <c r="BN39" s="214" t="str">
        <f>IF(AND(C39="Skema 2",B39="on"),Skemaoplysninger!$Q$30,"")</f>
        <v/>
      </c>
      <c r="BO39" s="214" t="str">
        <f>IF(AND(C39="Skema 2",B39="to"),Skemaoplysninger!$R$30,"")</f>
        <v/>
      </c>
      <c r="BP39" s="214" t="str">
        <f>IF(AND(C39="Skema 2",B39="fr"),Skemaoplysninger!$S$30,"")</f>
        <v/>
      </c>
      <c r="BQ39" s="214" t="str">
        <f>IF(AND(C39="Skema 3",B39="ma"),Skemaoplysninger!$Y$30,"")</f>
        <v/>
      </c>
      <c r="BR39" s="214" t="str">
        <f>IF(AND(C39="Skema 3",B39="ti"),Arbejdstidsoversigt!#REF!,"")</f>
        <v/>
      </c>
      <c r="BS39" s="214" t="str">
        <f>IF(AND(C39="Skema 3",B39="on"),Skemaoplysninger!$AA$30,"")</f>
        <v/>
      </c>
      <c r="BT39" s="214" t="str">
        <f>IF(AND(C39="Skema 3",B39="to"),Skemaoplysninger!$AB$30,"")</f>
        <v/>
      </c>
      <c r="BU39" s="214" t="str">
        <f>IF(AND(C39="Skema 3",B39="fr"),Skemaoplysninger!$AC$30,"")</f>
        <v/>
      </c>
      <c r="BV39" s="214" t="str">
        <f>IF(AND(C39="Skema 4",B39="ma"),Skemaoplysninger!$AI$30,"")</f>
        <v/>
      </c>
      <c r="BW39" s="214" t="str">
        <f>IF(AND(C39="Skema 4",B39="ti"),Skemaoplysninger!$AJ$30,"")</f>
        <v/>
      </c>
      <c r="BX39" s="214" t="str">
        <f>IF(AND(C39="Skema 4",B39="on"),Skemaoplysninger!$AK$30,"")</f>
        <v/>
      </c>
      <c r="BY39" s="214" t="str">
        <f>IF(AND(C39="Skema 4",B39="to"),Skemaoplysninger!$AL$30,"")</f>
        <v/>
      </c>
      <c r="BZ39" s="214" t="str">
        <f>IF(AND(C39="Skema 4",B39="fr"),Skemaoplysninger!$AM$30,"")</f>
        <v/>
      </c>
      <c r="CA39" s="1">
        <f t="shared" si="22"/>
        <v>0</v>
      </c>
      <c r="CB39" s="1">
        <f t="shared" si="12"/>
        <v>0</v>
      </c>
      <c r="CC39" s="1">
        <f t="shared" si="13"/>
        <v>0</v>
      </c>
      <c r="CD39" s="214" t="str">
        <f>IF(AND(C39="Skema 1",B39="ma"),Skemaoplysninger!$E$39,"")</f>
        <v/>
      </c>
      <c r="CE39" s="214" t="str">
        <f>IF(AND(C39="Skema 1",B39="ti"),Skemaoplysninger!$F$39,"")</f>
        <v/>
      </c>
      <c r="CF39" s="214" t="str">
        <f>IF(AND(C39="Skema 1",B39="on"),Skemaoplysninger!$G$39,"")</f>
        <v/>
      </c>
      <c r="CG39" s="214" t="str">
        <f>IF(AND(C39="Skema 1",B39="to"),Skemaoplysninger!$H$39,"")</f>
        <v/>
      </c>
      <c r="CH39" s="214" t="str">
        <f>IF(AND(C39="Skema 1",B39="fr"),Skemaoplysninger!$I$39,"")</f>
        <v/>
      </c>
      <c r="CI39" s="214" t="str">
        <f>IF(AND(C39="Skema 2",B39="ma"),Skemaoplysninger!$O$39,"")</f>
        <v/>
      </c>
      <c r="CJ39" s="214" t="str">
        <f>IF(AND(C39="Skema 2",B39="ti"),Skemaoplysninger!$P$39,"")</f>
        <v/>
      </c>
      <c r="CK39" s="214" t="str">
        <f>IF(AND(C39="Skema 2",B39="on"),Skemaoplysninger!$Q$39,"")</f>
        <v/>
      </c>
      <c r="CL39" s="214" t="str">
        <f>IF(AND(C39="Skema 2",B39="to"),Skemaoplysninger!$R$39,"")</f>
        <v/>
      </c>
      <c r="CM39" s="214" t="str">
        <f>IF(AND(C39="Skema 2",B39="fr"),Skemaoplysninger!$S$39,"")</f>
        <v/>
      </c>
      <c r="CN39" s="214" t="str">
        <f>IF(AND(C39="Skema 3",B39="ma"),Skemaoplysninger!$Y$39,"")</f>
        <v/>
      </c>
      <c r="CO39" s="214" t="str">
        <f>IF(AND(C39="Skema 3",B39="ti"),Skemaoplysninger!$Z$39,"")</f>
        <v/>
      </c>
      <c r="CP39" s="214" t="str">
        <f>IF(AND(C39="Skema 3",B39="on"),Skemaoplysninger!$AA$39,"")</f>
        <v/>
      </c>
      <c r="CQ39" s="214" t="str">
        <f>IF(AND(C39="Skema 3",B39="to"),Skemaoplysninger!$AB$39,"")</f>
        <v/>
      </c>
      <c r="CR39" s="214" t="str">
        <f>IF(AND(C39="Skema 3",B39="fr"),Skemaoplysninger!$AC$39,"")</f>
        <v/>
      </c>
      <c r="CS39" s="214" t="str">
        <f>IF(AND(C39="Skema 4",B39="ma"),Skemaoplysninger!$AI$39,"")</f>
        <v/>
      </c>
      <c r="CT39" s="214" t="str">
        <f>IF(AND(C39="Skema 4",B39="ti"),Skemaoplysninger!$AJ$39,"")</f>
        <v/>
      </c>
      <c r="CU39" s="214" t="str">
        <f>IF(AND(C39="Skema 4",B39="on"),Skemaoplysninger!$AK$39,"")</f>
        <v/>
      </c>
      <c r="CV39" s="214" t="str">
        <f>IF(AND(C39="Skema 4",B39="to"),Skemaoplysninger!$AL$39,"")</f>
        <v/>
      </c>
      <c r="CW39" s="214" t="str">
        <f>IF(AND(C39="Skema 4",B39="fr"),Skemaoplysninger!$AM$39,"")</f>
        <v/>
      </c>
      <c r="CX39" s="254">
        <f>IF(Stamoplysninger!$H$29="NEJ",SUM(CB39:CW39),0)</f>
        <v>0</v>
      </c>
      <c r="CY39" s="254">
        <f>IF(C39="Skema 1",Stamoplysninger!$H$30/200,0)</f>
        <v>0</v>
      </c>
      <c r="CZ39" s="254">
        <f>IF(C39="Skema 2",Stamoplysninger!$H$30/200,0)</f>
        <v>0</v>
      </c>
      <c r="DA39" s="254">
        <f>IF(C39="Skema 3",Stamoplysninger!$H$30/200,0)</f>
        <v>0</v>
      </c>
      <c r="DB39" s="254">
        <f>IF(C39="Skema 4",Stamoplysninger!$H$30/200,0)</f>
        <v>0</v>
      </c>
      <c r="DC39" s="254">
        <f>IF(C39="fagdag",Stamoplysninger!$H$30/200,0)</f>
        <v>0</v>
      </c>
      <c r="DD39" s="254">
        <f>IF(C39="emnedag",Stamoplysninger!$H$30/200,0)</f>
        <v>0</v>
      </c>
      <c r="DE39" s="254">
        <f>IF(C39="lejrskole",Stamoplysninger!$H$30/200,0)</f>
        <v>0</v>
      </c>
      <c r="DF39" s="254">
        <f>IF(C39="ekskursion",Stamoplysninger!$H$30/200,0)</f>
        <v>0</v>
      </c>
      <c r="DG39" s="254">
        <f t="shared" si="23"/>
        <v>0</v>
      </c>
      <c r="DH39" t="str">
        <f t="shared" si="24"/>
        <v/>
      </c>
      <c r="DI39" t="str">
        <f t="shared" si="25"/>
        <v>Sommerferie</v>
      </c>
      <c r="DJ39" t="str">
        <f t="shared" si="26"/>
        <v/>
      </c>
      <c r="DK39" t="str">
        <f t="shared" ref="DK39:DM39" si="28">IF(DH39=0,"",DH39)</f>
        <v/>
      </c>
      <c r="DL39" t="str">
        <f t="shared" si="28"/>
        <v>Sommerferie</v>
      </c>
      <c r="DM39" t="str">
        <f t="shared" si="28"/>
        <v/>
      </c>
      <c r="DN39" t="str">
        <f t="shared" si="27"/>
        <v>Sommerferie</v>
      </c>
    </row>
    <row r="40" spans="1:118" ht="17" thickBot="1">
      <c r="A40" s="889" t="s">
        <v>263</v>
      </c>
      <c r="B40" s="890"/>
      <c r="C40" s="890"/>
      <c r="D40" s="890"/>
      <c r="E40" s="890"/>
      <c r="F40" s="890"/>
      <c r="G40" s="890"/>
      <c r="H40" s="890"/>
      <c r="I40" s="891"/>
      <c r="J40" s="329"/>
      <c r="K40" s="338"/>
      <c r="L40" s="338"/>
      <c r="M40" s="338"/>
      <c r="N40" s="339">
        <f t="shared" ref="N40:Q40" si="29">SUM(N9:N39)</f>
        <v>0</v>
      </c>
      <c r="O40" s="339">
        <f t="shared" si="29"/>
        <v>0</v>
      </c>
      <c r="P40" s="339">
        <f t="shared" si="29"/>
        <v>0</v>
      </c>
      <c r="Q40" s="339">
        <f t="shared" si="29"/>
        <v>0</v>
      </c>
      <c r="R40" s="340">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59"/>
      <c r="T40" s="460"/>
      <c r="U40" s="460"/>
      <c r="V40" s="460">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60">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61">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5">
        <f>SUM(Y9:Y39)</f>
        <v>0</v>
      </c>
      <c r="Z40" s="425">
        <f>Z9+Z10+Z11+Z12+Z13+Z14+Z15+Z16+Z17+Z18+Z19+Z20+Z21+Z22+Z23+Z24+Z25+Z26+Z27+Z28+Z29+Z30+Z31+Z32+Z33+Z34+Z35+Z36+Z37+Z38+Z39</f>
        <v>0</v>
      </c>
      <c r="AA40" s="239">
        <f t="shared" ref="AA40:AF40" si="30">SUM(AA9:AA39)</f>
        <v>0</v>
      </c>
      <c r="AB40" s="239">
        <f t="shared" si="30"/>
        <v>0</v>
      </c>
      <c r="AC40" s="239">
        <f t="shared" si="30"/>
        <v>0</v>
      </c>
      <c r="AD40" s="239">
        <f t="shared" si="30"/>
        <v>0</v>
      </c>
      <c r="AE40" s="239">
        <f t="shared" si="30"/>
        <v>0</v>
      </c>
      <c r="AF40" s="239">
        <f t="shared" si="30"/>
        <v>0</v>
      </c>
      <c r="BA40" s="1">
        <f>SUM(BA9:BA39)</f>
        <v>0</v>
      </c>
      <c r="BB40" s="116"/>
      <c r="BC40" s="239">
        <f>SUM(BC9:BC39)</f>
        <v>0</v>
      </c>
      <c r="BD40" s="239">
        <f>SUM(BD9:BD39)</f>
        <v>0</v>
      </c>
      <c r="BE40" s="239">
        <f t="shared" ref="BE40:BF40" si="31">SUM(BE9:BE39)</f>
        <v>0</v>
      </c>
      <c r="BF40" s="239">
        <f t="shared" si="31"/>
        <v>0</v>
      </c>
      <c r="CA40" s="239">
        <f>SUM(CA9:CA39)</f>
        <v>0</v>
      </c>
      <c r="CB40" s="239">
        <f t="shared" ref="CB40:CC40" si="32">SUM(CB9:CB39)</f>
        <v>0</v>
      </c>
      <c r="CC40" s="239">
        <f t="shared" si="32"/>
        <v>0</v>
      </c>
      <c r="CX40" s="254"/>
      <c r="CY40" s="254">
        <f t="shared" ref="CY40:DG40" si="33">SUM(CY9:CY39)</f>
        <v>0</v>
      </c>
      <c r="CZ40" s="254">
        <f t="shared" si="33"/>
        <v>0</v>
      </c>
      <c r="DA40" s="254">
        <f t="shared" si="33"/>
        <v>0</v>
      </c>
      <c r="DB40" s="254">
        <f t="shared" si="33"/>
        <v>0</v>
      </c>
      <c r="DC40" s="254">
        <f t="shared" si="33"/>
        <v>0</v>
      </c>
      <c r="DD40" s="254">
        <f t="shared" si="33"/>
        <v>0</v>
      </c>
      <c r="DE40" s="254">
        <f t="shared" si="33"/>
        <v>0</v>
      </c>
      <c r="DF40" s="254">
        <f t="shared" si="33"/>
        <v>0</v>
      </c>
      <c r="DG40" s="254">
        <f t="shared" si="33"/>
        <v>0</v>
      </c>
    </row>
    <row r="41" spans="1:118" ht="26" thickBot="1">
      <c r="A41" s="236"/>
      <c r="B41" s="236"/>
      <c r="C41" s="236"/>
      <c r="D41" s="236"/>
      <c r="E41" s="236"/>
      <c r="F41" s="236"/>
      <c r="G41" s="236"/>
      <c r="H41" s="236"/>
      <c r="I41" s="236"/>
      <c r="J41" s="236"/>
      <c r="K41" s="243"/>
      <c r="L41" s="243"/>
      <c r="M41" s="243"/>
      <c r="N41" s="243"/>
      <c r="O41" s="243"/>
      <c r="P41" s="243"/>
      <c r="Q41" s="243"/>
      <c r="R41" s="243"/>
      <c r="S41" s="478"/>
      <c r="T41" s="478"/>
      <c r="U41" s="478"/>
      <c r="V41" s="478"/>
      <c r="W41" s="478"/>
      <c r="X41" s="478"/>
      <c r="Y41" s="239"/>
      <c r="Z41" s="215"/>
      <c r="AA41" s="239"/>
      <c r="AB41" s="215"/>
      <c r="AC41" s="215"/>
      <c r="AD41" s="239"/>
      <c r="AE41" s="239"/>
      <c r="AG41" s="239"/>
      <c r="BC41" s="239"/>
      <c r="BD41" s="239"/>
      <c r="BE41" s="239"/>
      <c r="BF41" s="239"/>
      <c r="BG41" s="116"/>
      <c r="CB41" s="239"/>
      <c r="CC41" s="239"/>
      <c r="CD41" s="116"/>
      <c r="CX41" s="253"/>
      <c r="CZ41"/>
    </row>
    <row r="42" spans="1:118" ht="70" customHeight="1">
      <c r="A42" s="875" t="str">
        <f>"Arbejdstid for "&amp;A7&amp;" måned:"</f>
        <v>Arbejdstid for Juli måned:</v>
      </c>
      <c r="B42" s="876"/>
      <c r="C42" s="876"/>
      <c r="D42" s="876"/>
      <c r="E42" s="876"/>
      <c r="F42" s="876"/>
      <c r="G42" s="876"/>
      <c r="H42" s="347" t="s">
        <v>258</v>
      </c>
      <c r="I42" s="876" t="s">
        <v>224</v>
      </c>
      <c r="J42" s="877"/>
      <c r="K42" s="878"/>
      <c r="L42" s="267"/>
      <c r="M42" s="843" t="str">
        <f>"Ulempetimer og weekendtimer i "&amp;A5&amp;""</f>
        <v>Ulempetimer og weekendtimer i Juli måneds kalender for: . Måneden vedr. normperioden:  - .</v>
      </c>
      <c r="N42" s="844"/>
      <c r="O42" s="844"/>
      <c r="P42" s="844"/>
      <c r="Q42" s="844"/>
      <c r="R42" s="844"/>
      <c r="S42" s="844"/>
      <c r="T42" s="844"/>
      <c r="U42" s="844"/>
      <c r="V42" s="844"/>
      <c r="W42" s="844"/>
      <c r="X42" s="845"/>
      <c r="Y42" s="243"/>
      <c r="Z42" s="243"/>
      <c r="AD42" s="94"/>
      <c r="AE42" s="94"/>
      <c r="BM42" s="1"/>
      <c r="CJ42" s="1"/>
      <c r="CU42" s="253"/>
      <c r="CV42" s="253"/>
      <c r="CY42"/>
      <c r="CZ42"/>
    </row>
    <row r="43" spans="1:118">
      <c r="A43" s="879" t="s">
        <v>601</v>
      </c>
      <c r="B43" s="880"/>
      <c r="C43" s="880"/>
      <c r="D43" s="880"/>
      <c r="E43" s="880"/>
      <c r="F43" s="880"/>
      <c r="G43" s="880"/>
      <c r="H43" s="261">
        <f>D78</f>
        <v>23</v>
      </c>
      <c r="I43" s="892">
        <f>IF(Stamoplysninger!$E$12="Ja",1924/Arbejdstidsoversigt!$K$9*Stamoplysninger!$E$15*H43,H43*7.4*Stamoplysninger!$E$15)</f>
        <v>0</v>
      </c>
      <c r="J43" s="893"/>
      <c r="K43" s="894"/>
      <c r="L43" s="263"/>
      <c r="M43" s="846" t="s">
        <v>550</v>
      </c>
      <c r="N43" s="847"/>
      <c r="O43" s="847"/>
      <c r="P43" s="847"/>
      <c r="Q43" s="847"/>
      <c r="R43" s="847"/>
      <c r="S43" s="847"/>
      <c r="T43" s="847"/>
      <c r="U43" s="848"/>
      <c r="V43" s="990">
        <f>M73+S72+T72+M76+M80+M74+N73+N80</f>
        <v>0</v>
      </c>
      <c r="W43" s="990"/>
      <c r="X43" s="991"/>
      <c r="Y43" s="243"/>
      <c r="Z43" s="243"/>
      <c r="AD43" s="94"/>
      <c r="AE43" s="94"/>
      <c r="BM43" s="1"/>
      <c r="CJ43" s="1"/>
      <c r="CU43" s="253"/>
      <c r="CV43" s="253"/>
      <c r="CY43"/>
      <c r="CZ43"/>
    </row>
    <row r="44" spans="1:118">
      <c r="A44" s="879" t="str">
        <f>"Ferie "&amp;A7&amp;" måned"</f>
        <v>Ferie Juli måned</v>
      </c>
      <c r="B44" s="880"/>
      <c r="C44" s="880"/>
      <c r="D44" s="880"/>
      <c r="E44" s="880"/>
      <c r="F44" s="880"/>
      <c r="G44" s="880"/>
      <c r="H44" s="262">
        <f>IF(D73&gt;0,$D$73,"0")</f>
        <v>18</v>
      </c>
      <c r="I44" s="881">
        <f>H44*7.4*Stamoplysninger!$E$15</f>
        <v>0</v>
      </c>
      <c r="J44" s="882"/>
      <c r="K44" s="883"/>
      <c r="L44" s="263"/>
      <c r="M44" s="852" t="s">
        <v>262</v>
      </c>
      <c r="N44" s="853"/>
      <c r="O44" s="853"/>
      <c r="P44" s="853"/>
      <c r="Q44" s="853"/>
      <c r="R44" s="853"/>
      <c r="S44" s="853"/>
      <c r="T44" s="853"/>
      <c r="U44" s="854"/>
      <c r="V44" s="992">
        <f>M72+S71+T71+M75+M79+M71+N71+N79</f>
        <v>0</v>
      </c>
      <c r="W44" s="992"/>
      <c r="X44" s="993"/>
      <c r="Y44" s="243"/>
      <c r="Z44" s="243"/>
      <c r="AD44" s="94"/>
      <c r="AE44" s="94"/>
      <c r="BM44" s="1"/>
      <c r="CJ44" s="1"/>
      <c r="CU44" s="253"/>
      <c r="CV44" s="253"/>
      <c r="CY44"/>
      <c r="CZ44"/>
    </row>
    <row r="45" spans="1:118">
      <c r="A45" s="879" t="str">
        <f>"Søgnehelligdage i "&amp;A7&amp;" måned"</f>
        <v>Søgnehelligdage i Juli måned</v>
      </c>
      <c r="B45" s="880"/>
      <c r="C45" s="880"/>
      <c r="D45" s="880"/>
      <c r="E45" s="880"/>
      <c r="F45" s="880"/>
      <c r="G45" s="880"/>
      <c r="H45" s="262">
        <f>IF(D72&gt;0,D72,0)</f>
        <v>0</v>
      </c>
      <c r="I45" s="881">
        <f>H45*7.4*Stamoplysninger!$E$15</f>
        <v>0</v>
      </c>
      <c r="J45" s="882"/>
      <c r="K45" s="883"/>
      <c r="L45" s="264"/>
      <c r="M45" s="1034" t="s">
        <v>301</v>
      </c>
      <c r="N45" s="1035"/>
      <c r="O45" s="1035"/>
      <c r="P45" s="1035"/>
      <c r="Q45" s="1035"/>
      <c r="R45" s="1035"/>
      <c r="S45" s="1035"/>
      <c r="T45" s="1035"/>
      <c r="U45" s="1036"/>
      <c r="V45" s="1037">
        <f>Juni!V52</f>
        <v>0</v>
      </c>
      <c r="W45" s="1038"/>
      <c r="X45" s="1041"/>
      <c r="Y45" s="243"/>
      <c r="Z45" s="243"/>
      <c r="AD45" s="94"/>
      <c r="AE45" s="94"/>
      <c r="BM45" s="1"/>
      <c r="CJ45" s="1"/>
      <c r="CU45" s="253"/>
      <c r="CV45" s="253"/>
      <c r="CY45"/>
      <c r="CZ45"/>
    </row>
    <row r="46" spans="1:118">
      <c r="A46" s="879" t="str">
        <f>"Nettoarbejdstid ialt i "&amp;A7&amp;" måned"</f>
        <v>Nettoarbejdstid ialt i Juli måned</v>
      </c>
      <c r="B46" s="880"/>
      <c r="C46" s="880"/>
      <c r="D46" s="880"/>
      <c r="E46" s="880"/>
      <c r="F46" s="880"/>
      <c r="G46" s="880"/>
      <c r="H46" s="265">
        <f>H43-H44-H45</f>
        <v>5</v>
      </c>
      <c r="I46" s="881">
        <f>I43-I44-I45</f>
        <v>0</v>
      </c>
      <c r="J46" s="882"/>
      <c r="K46" s="883"/>
      <c r="L46" s="414"/>
      <c r="M46" s="862" t="s">
        <v>308</v>
      </c>
      <c r="N46" s="863"/>
      <c r="O46" s="863"/>
      <c r="P46" s="863"/>
      <c r="Q46" s="863"/>
      <c r="R46" s="863"/>
      <c r="S46" s="863"/>
      <c r="T46" s="863"/>
      <c r="U46" s="864"/>
      <c r="V46" s="865">
        <f>SUM(V44:X45)</f>
        <v>0</v>
      </c>
      <c r="W46" s="866"/>
      <c r="X46" s="867"/>
      <c r="Y46" s="243"/>
      <c r="Z46" s="243"/>
      <c r="AD46" s="94"/>
      <c r="AE46" s="94"/>
      <c r="BM46" s="1"/>
      <c r="CJ46" s="1"/>
      <c r="CU46" s="253"/>
      <c r="CV46" s="253"/>
      <c r="CY46"/>
      <c r="CZ46"/>
    </row>
    <row r="47" spans="1:118">
      <c r="A47" s="895" t="str">
        <f>"Planlagt arbejdstid efter ovennstående "&amp;A7&amp;" måned kalender"</f>
        <v>Planlagt arbejdstid efter ovennstående Juli måned kalender</v>
      </c>
      <c r="B47" s="896"/>
      <c r="C47" s="896"/>
      <c r="D47" s="896"/>
      <c r="E47" s="896"/>
      <c r="F47" s="896"/>
      <c r="G47" s="896"/>
      <c r="H47" s="521">
        <f>D64+D65+D66+D67+D68+D69+D70</f>
        <v>0</v>
      </c>
      <c r="I47" s="897">
        <f>N40+R40-J67</f>
        <v>0</v>
      </c>
      <c r="J47" s="834"/>
      <c r="K47" s="898"/>
      <c r="L47" s="414"/>
      <c r="M47" s="817" t="s">
        <v>299</v>
      </c>
      <c r="N47" s="818"/>
      <c r="O47" s="818"/>
      <c r="P47" s="818"/>
      <c r="Q47" s="818"/>
      <c r="R47" s="818"/>
      <c r="S47" s="818"/>
      <c r="T47" s="818"/>
      <c r="U47" s="818"/>
      <c r="V47" s="818"/>
      <c r="W47" s="818"/>
      <c r="X47" s="819"/>
      <c r="Y47" s="243"/>
      <c r="Z47" s="243"/>
      <c r="AD47" s="94"/>
      <c r="AE47" s="94"/>
      <c r="BM47" s="1"/>
      <c r="CJ47" s="1"/>
      <c r="CU47" s="253"/>
      <c r="CV47" s="253"/>
      <c r="CY47"/>
      <c r="CZ47"/>
    </row>
    <row r="48" spans="1:118">
      <c r="A48" s="902" t="s">
        <v>492</v>
      </c>
      <c r="B48" s="903"/>
      <c r="C48" s="903"/>
      <c r="D48" s="903"/>
      <c r="E48" s="903"/>
      <c r="F48" s="903"/>
      <c r="G48" s="903"/>
      <c r="H48" s="904"/>
      <c r="I48" s="899">
        <f>(M71+M73+M81+M83+M77+M78+M82)*-1</f>
        <v>0</v>
      </c>
      <c r="J48" s="900"/>
      <c r="K48" s="901"/>
      <c r="L48" s="415"/>
      <c r="M48" s="820" t="s">
        <v>506</v>
      </c>
      <c r="N48" s="821"/>
      <c r="O48" s="821"/>
      <c r="P48" s="821"/>
      <c r="Q48" s="821"/>
      <c r="R48" s="821"/>
      <c r="S48" s="821"/>
      <c r="T48" s="821"/>
      <c r="U48" s="822"/>
      <c r="V48" s="823" t="s">
        <v>224</v>
      </c>
      <c r="W48" s="824"/>
      <c r="X48" s="825"/>
      <c r="Y48" s="243"/>
      <c r="Z48" s="243"/>
      <c r="AD48" s="94"/>
      <c r="AE48" s="94"/>
      <c r="BM48" s="1"/>
      <c r="CJ48" s="1"/>
      <c r="CU48" s="253"/>
      <c r="CV48" s="253"/>
      <c r="CY48"/>
      <c r="CZ48"/>
    </row>
    <row r="49" spans="1:110">
      <c r="A49" s="837" t="str">
        <f>"Arbejde særligt planlagt for "&amp;A7&amp;" måned efter fanen skemaoplysninger"</f>
        <v>Arbejde særligt planlagt for Juli måned efter fanen skemaoplysninger</v>
      </c>
      <c r="B49" s="838"/>
      <c r="C49" s="838"/>
      <c r="D49" s="838"/>
      <c r="E49" s="838"/>
      <c r="F49" s="838"/>
      <c r="G49" s="838"/>
      <c r="H49" s="839"/>
      <c r="I49" s="834">
        <f>Skemaoplysninger!V91</f>
        <v>0</v>
      </c>
      <c r="J49" s="835"/>
      <c r="K49" s="836"/>
      <c r="L49" s="245"/>
      <c r="M49" s="805"/>
      <c r="N49" s="806"/>
      <c r="O49" s="806"/>
      <c r="P49" s="806"/>
      <c r="Q49" s="806"/>
      <c r="R49" s="806"/>
      <c r="S49" s="806"/>
      <c r="T49" s="806"/>
      <c r="U49" s="807"/>
      <c r="V49" s="826"/>
      <c r="W49" s="826"/>
      <c r="X49" s="827"/>
      <c r="Y49"/>
      <c r="Z49" s="243"/>
      <c r="AA49" s="243"/>
      <c r="AG49" s="94"/>
      <c r="AH49" s="94"/>
      <c r="BA49" s="243"/>
      <c r="BO49" s="1"/>
      <c r="CL49" s="1"/>
      <c r="CV49" s="253"/>
      <c r="CW49" s="253"/>
      <c r="CY49"/>
      <c r="CZ49"/>
    </row>
    <row r="50" spans="1:110">
      <c r="A50" s="884" t="s">
        <v>296</v>
      </c>
      <c r="B50" s="885"/>
      <c r="C50" s="885"/>
      <c r="D50" s="885"/>
      <c r="E50" s="885"/>
      <c r="F50" s="885"/>
      <c r="G50" s="885"/>
      <c r="H50" s="885"/>
      <c r="I50" s="1027">
        <f>V40+X40-N68-N66-P66</f>
        <v>0</v>
      </c>
      <c r="J50" s="899"/>
      <c r="K50" s="1028"/>
      <c r="L50" s="245"/>
      <c r="M50" s="805"/>
      <c r="N50" s="806"/>
      <c r="O50" s="806"/>
      <c r="P50" s="806"/>
      <c r="Q50" s="806"/>
      <c r="R50" s="806"/>
      <c r="S50" s="806"/>
      <c r="T50" s="806"/>
      <c r="U50" s="807"/>
      <c r="V50" s="808"/>
      <c r="W50" s="809"/>
      <c r="X50" s="810"/>
      <c r="Y50"/>
      <c r="Z50" s="243"/>
      <c r="AA50" s="243"/>
      <c r="AE50" s="94"/>
      <c r="AF50" s="252"/>
      <c r="AG50" s="94"/>
      <c r="BN50" s="1"/>
      <c r="CK50" s="1"/>
      <c r="CV50" s="253"/>
      <c r="CW50" s="253"/>
      <c r="CY50"/>
      <c r="CZ50"/>
    </row>
    <row r="51" spans="1:110" ht="17" thickBot="1">
      <c r="A51" s="266" t="str">
        <f>"Faktisk arbejdstid ialt i "&amp;A7&amp;" måned"</f>
        <v>Faktisk arbejdstid ialt i Juli måned</v>
      </c>
      <c r="B51" s="330"/>
      <c r="C51" s="331"/>
      <c r="D51" s="331"/>
      <c r="E51" s="331"/>
      <c r="F51" s="331"/>
      <c r="G51" s="331"/>
      <c r="H51" s="332"/>
      <c r="I51" s="840">
        <f>I47+I50+I49+I48</f>
        <v>0</v>
      </c>
      <c r="J51" s="841"/>
      <c r="K51" s="842"/>
      <c r="L51" s="354"/>
      <c r="M51" s="805"/>
      <c r="N51" s="806"/>
      <c r="O51" s="806"/>
      <c r="P51" s="806"/>
      <c r="Q51" s="806"/>
      <c r="R51" s="806"/>
      <c r="S51" s="806"/>
      <c r="T51" s="806"/>
      <c r="U51" s="807"/>
      <c r="V51" s="808"/>
      <c r="W51" s="809"/>
      <c r="X51" s="810"/>
      <c r="Y51" s="243"/>
      <c r="Z51" s="243"/>
      <c r="AA51" s="218"/>
      <c r="AB51" s="252"/>
      <c r="AC51" s="252"/>
      <c r="AD51" s="252"/>
      <c r="AE51" s="243"/>
      <c r="AF51" s="252"/>
      <c r="AH51" s="243"/>
      <c r="AI51" s="243"/>
      <c r="AM51" s="94"/>
      <c r="AN51" s="94"/>
      <c r="BU51" s="1"/>
      <c r="CR51" s="1"/>
      <c r="CY51"/>
      <c r="CZ51"/>
      <c r="DC51" s="253"/>
      <c r="DD51" s="253"/>
    </row>
    <row r="52" spans="1:110" ht="17" thickBot="1">
      <c r="A52" s="260"/>
      <c r="B52" s="260"/>
      <c r="C52" s="260"/>
      <c r="D52" s="260"/>
      <c r="E52" s="260"/>
      <c r="F52" s="260"/>
      <c r="G52" s="260"/>
      <c r="H52" s="260"/>
      <c r="I52" s="577"/>
      <c r="J52" s="577"/>
      <c r="K52" s="577"/>
      <c r="L52" s="551"/>
      <c r="M52" s="805"/>
      <c r="N52" s="806"/>
      <c r="O52" s="806"/>
      <c r="P52" s="806"/>
      <c r="Q52" s="806"/>
      <c r="R52" s="806"/>
      <c r="S52" s="806"/>
      <c r="T52" s="806"/>
      <c r="U52" s="807"/>
      <c r="V52" s="808"/>
      <c r="W52" s="809"/>
      <c r="X52" s="810"/>
      <c r="Y52" s="243"/>
      <c r="Z52" s="243"/>
      <c r="AA52" s="243"/>
      <c r="AB52" s="243"/>
      <c r="AC52" s="218"/>
      <c r="AD52" s="252"/>
      <c r="AE52" s="252"/>
      <c r="AF52" s="252"/>
      <c r="AG52" s="252"/>
      <c r="AH52" s="243"/>
      <c r="AJ52" s="243"/>
      <c r="AK52" s="243"/>
      <c r="AO52" s="94"/>
      <c r="AP52" s="94"/>
      <c r="BW52" s="1"/>
      <c r="CT52" s="1"/>
      <c r="CY52"/>
      <c r="CZ52"/>
      <c r="DE52" s="253"/>
      <c r="DF52" s="253"/>
    </row>
    <row r="53" spans="1:110" ht="35" thickBot="1">
      <c r="A53" s="875" t="s">
        <v>527</v>
      </c>
      <c r="B53" s="876"/>
      <c r="C53" s="876"/>
      <c r="D53" s="876"/>
      <c r="E53" s="876"/>
      <c r="F53" s="876"/>
      <c r="G53" s="876"/>
      <c r="H53" s="670" t="s">
        <v>614</v>
      </c>
      <c r="I53" s="876" t="s">
        <v>526</v>
      </c>
      <c r="J53" s="876"/>
      <c r="K53" s="878"/>
      <c r="L53" s="551"/>
      <c r="M53" s="811" t="s">
        <v>300</v>
      </c>
      <c r="N53" s="812"/>
      <c r="O53" s="812"/>
      <c r="P53" s="812"/>
      <c r="Q53" s="812"/>
      <c r="R53" s="812"/>
      <c r="S53" s="812"/>
      <c r="T53" s="812"/>
      <c r="U53" s="813"/>
      <c r="V53" s="1006">
        <f>V46-SUM(V49:X52)</f>
        <v>0</v>
      </c>
      <c r="W53" s="1007"/>
      <c r="X53" s="1008"/>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905"/>
      <c r="B54" s="906"/>
      <c r="C54" s="906"/>
      <c r="D54" s="906"/>
      <c r="E54" s="906"/>
      <c r="F54" s="906"/>
      <c r="G54" s="906"/>
      <c r="H54" s="666">
        <f>Juni!H61</f>
        <v>0</v>
      </c>
      <c r="I54" s="978">
        <f>Juni!I61</f>
        <v>0</v>
      </c>
      <c r="J54" s="978"/>
      <c r="K54" s="979"/>
      <c r="L54" s="551"/>
      <c r="M54" s="578"/>
      <c r="N54" s="578"/>
      <c r="O54" s="578"/>
      <c r="P54" s="578"/>
      <c r="Q54" s="579"/>
      <c r="R54" s="580"/>
      <c r="S54" s="580"/>
      <c r="T54" s="580"/>
      <c r="U54" s="580"/>
      <c r="V54" s="578"/>
      <c r="W54" s="581"/>
      <c r="X54" s="578"/>
      <c r="Y54" s="243"/>
      <c r="Z54" s="243"/>
      <c r="AA54" s="243"/>
      <c r="AB54" s="243"/>
      <c r="AC54" s="218"/>
      <c r="AD54" s="252"/>
      <c r="AE54" s="252"/>
      <c r="AF54" s="252"/>
      <c r="AG54" s="252"/>
      <c r="AH54" s="243"/>
      <c r="AJ54" s="243"/>
      <c r="AK54" s="243"/>
      <c r="AO54" s="94"/>
      <c r="AP54" s="94"/>
      <c r="BW54" s="1"/>
      <c r="CT54" s="1"/>
      <c r="CY54"/>
      <c r="CZ54"/>
      <c r="DE54" s="253"/>
      <c r="DF54" s="253"/>
    </row>
    <row r="55" spans="1:110" ht="16" customHeight="1">
      <c r="A55" s="1013" t="s">
        <v>530</v>
      </c>
      <c r="B55" s="1014"/>
      <c r="C55" s="1014"/>
      <c r="D55" s="1014"/>
      <c r="E55" s="1014"/>
      <c r="F55" s="1014"/>
      <c r="G55" s="1015"/>
      <c r="H55" s="664"/>
      <c r="I55" s="1016"/>
      <c r="J55" s="1017"/>
      <c r="K55" s="1018"/>
      <c r="L55" s="551"/>
      <c r="M55" s="578"/>
      <c r="N55" s="578"/>
      <c r="O55" s="578"/>
      <c r="P55" s="578"/>
      <c r="Q55" s="579"/>
      <c r="R55" s="580"/>
      <c r="S55" s="580"/>
      <c r="T55" s="580"/>
      <c r="U55" s="580"/>
      <c r="V55" s="578"/>
      <c r="W55" s="581"/>
      <c r="X55" s="578"/>
      <c r="Y55" s="243"/>
      <c r="Z55" s="243"/>
      <c r="AA55" s="243"/>
      <c r="AB55" s="243"/>
      <c r="AC55" s="218"/>
      <c r="AD55" s="252"/>
      <c r="AE55" s="252"/>
      <c r="AF55" s="252"/>
      <c r="AG55" s="252"/>
      <c r="AH55" s="243"/>
      <c r="AJ55" s="243"/>
      <c r="AK55" s="243"/>
      <c r="AO55" s="94"/>
      <c r="AP55" s="94"/>
      <c r="BW55" s="1"/>
      <c r="CT55" s="1"/>
      <c r="CY55"/>
      <c r="CZ55"/>
      <c r="DE55" s="253"/>
      <c r="DF55" s="253"/>
    </row>
    <row r="56" spans="1:110" ht="37" customHeight="1">
      <c r="A56" s="802" t="s">
        <v>616</v>
      </c>
      <c r="B56" s="803"/>
      <c r="C56" s="803"/>
      <c r="D56" s="803"/>
      <c r="E56" s="803"/>
      <c r="F56" s="803"/>
      <c r="G56" s="803"/>
      <c r="H56" s="803"/>
      <c r="I56" s="803"/>
      <c r="J56" s="803"/>
      <c r="K56" s="804"/>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0" ht="35" customHeight="1">
      <c r="A57" s="907" t="s">
        <v>615</v>
      </c>
      <c r="B57" s="908"/>
      <c r="C57" s="958" t="s">
        <v>566</v>
      </c>
      <c r="D57" s="959"/>
      <c r="E57" s="960" t="s">
        <v>567</v>
      </c>
      <c r="F57" s="803"/>
      <c r="G57" s="961"/>
      <c r="H57" s="970" t="s">
        <v>528</v>
      </c>
      <c r="I57" s="970"/>
      <c r="J57" s="970"/>
      <c r="K57" s="971"/>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0">
      <c r="A58" s="962"/>
      <c r="B58" s="963"/>
      <c r="C58" s="966"/>
      <c r="D58" s="965"/>
      <c r="E58" s="967"/>
      <c r="F58" s="968"/>
      <c r="G58" s="969"/>
      <c r="H58" s="665"/>
      <c r="I58" s="956"/>
      <c r="J58" s="956"/>
      <c r="K58" s="957"/>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0">
      <c r="A59" s="964"/>
      <c r="B59" s="965"/>
      <c r="C59" s="966"/>
      <c r="D59" s="965"/>
      <c r="E59" s="967"/>
      <c r="F59" s="968"/>
      <c r="G59" s="969"/>
      <c r="H59" s="665"/>
      <c r="I59" s="956"/>
      <c r="J59" s="956"/>
      <c r="K59" s="957"/>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0">
      <c r="A60" s="964"/>
      <c r="B60" s="965"/>
      <c r="C60" s="966"/>
      <c r="D60" s="965"/>
      <c r="E60" s="967"/>
      <c r="F60" s="968"/>
      <c r="G60" s="969"/>
      <c r="H60" s="665"/>
      <c r="I60" s="956"/>
      <c r="J60" s="956"/>
      <c r="K60" s="957"/>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0">
      <c r="A61" s="964"/>
      <c r="B61" s="965"/>
      <c r="C61" s="966"/>
      <c r="D61" s="965"/>
      <c r="E61" s="967"/>
      <c r="F61" s="968"/>
      <c r="G61" s="969"/>
      <c r="H61" s="665"/>
      <c r="I61" s="956"/>
      <c r="J61" s="956"/>
      <c r="K61" s="957"/>
      <c r="L61" s="551"/>
      <c r="M61" s="578"/>
      <c r="N61" s="578"/>
      <c r="O61" s="578"/>
      <c r="P61" s="578"/>
      <c r="Q61" s="579"/>
      <c r="R61" s="580"/>
      <c r="S61" s="580"/>
      <c r="T61" s="580"/>
      <c r="U61" s="580"/>
      <c r="V61" s="578"/>
      <c r="W61" s="581"/>
      <c r="X61" s="578"/>
      <c r="Y61" s="243"/>
      <c r="Z61" s="243"/>
      <c r="AA61" s="243"/>
      <c r="AB61" s="243"/>
      <c r="AC61" s="218"/>
      <c r="AD61" s="252"/>
      <c r="AE61" s="252"/>
      <c r="AF61" s="252"/>
      <c r="AG61" s="252"/>
      <c r="AH61" s="243"/>
      <c r="AJ61" s="243"/>
      <c r="AK61" s="243"/>
      <c r="AO61" s="94"/>
      <c r="AP61" s="94"/>
      <c r="BW61" s="1"/>
      <c r="CT61" s="1"/>
      <c r="CY61"/>
      <c r="CZ61"/>
      <c r="DE61" s="253"/>
      <c r="DF61" s="253"/>
    </row>
    <row r="62" spans="1:110" ht="17" thickBot="1">
      <c r="A62" s="953" t="s">
        <v>529</v>
      </c>
      <c r="B62" s="954"/>
      <c r="C62" s="955"/>
      <c r="D62" s="955"/>
      <c r="E62" s="955"/>
      <c r="F62" s="955"/>
      <c r="G62" s="955"/>
      <c r="H62" s="667">
        <f>H55+H54-SUM(H58:H61)</f>
        <v>0</v>
      </c>
      <c r="I62" s="950">
        <f>I54+I55-SUM(I58:K61)</f>
        <v>0</v>
      </c>
      <c r="J62" s="951"/>
      <c r="K62" s="952"/>
      <c r="L62" s="551"/>
      <c r="M62" s="578"/>
      <c r="N62" s="578"/>
      <c r="O62" s="578"/>
      <c r="P62" s="578"/>
      <c r="Q62" s="579"/>
      <c r="R62" s="580"/>
      <c r="S62" s="580"/>
      <c r="T62" s="580"/>
      <c r="U62" s="580"/>
      <c r="V62" s="578"/>
      <c r="W62" s="581"/>
      <c r="X62" s="578"/>
      <c r="Y62" s="243"/>
      <c r="Z62" s="243"/>
      <c r="AA62" s="243"/>
      <c r="AB62" s="243"/>
      <c r="AC62" s="218"/>
      <c r="AD62" s="252"/>
      <c r="AE62" s="252"/>
      <c r="AF62" s="252"/>
      <c r="AG62" s="252"/>
      <c r="AH62" s="243"/>
      <c r="AJ62" s="243"/>
      <c r="AK62" s="243"/>
      <c r="AO62" s="94"/>
      <c r="AP62" s="94"/>
      <c r="BW62" s="1"/>
      <c r="CT62" s="1"/>
      <c r="CY62"/>
      <c r="CZ62"/>
      <c r="DE62" s="253"/>
      <c r="DF62" s="253"/>
    </row>
    <row r="63" spans="1:110">
      <c r="A63" s="470"/>
      <c r="B63" s="470"/>
      <c r="C63" s="470"/>
      <c r="D63" s="470"/>
      <c r="E63" s="470"/>
      <c r="F63" s="470"/>
      <c r="G63" s="470"/>
      <c r="H63" s="482"/>
      <c r="I63" s="122"/>
      <c r="J63" s="122"/>
      <c r="K63" s="483"/>
      <c r="L63" s="354"/>
      <c r="M63" s="243"/>
      <c r="N63" s="243"/>
      <c r="O63" s="218"/>
      <c r="P63" s="252"/>
      <c r="Q63" s="252"/>
      <c r="R63" s="252"/>
      <c r="S63" s="243"/>
      <c r="T63" s="252"/>
      <c r="V63" s="243"/>
      <c r="W63" s="243"/>
      <c r="Y63"/>
      <c r="Z63"/>
      <c r="AA63" s="94"/>
      <c r="AB63" s="94"/>
      <c r="BI63" s="1"/>
      <c r="CF63" s="1"/>
      <c r="CQ63" s="253"/>
      <c r="CR63" s="253"/>
      <c r="CY63"/>
      <c r="CZ63"/>
    </row>
    <row r="64" spans="1:110" hidden="1">
      <c r="A64" s="127" t="s">
        <v>209</v>
      </c>
      <c r="B64" s="127"/>
      <c r="C64" s="127"/>
      <c r="D64" s="127">
        <f>COUNTIF([0]!Juli,"Skema 1")</f>
        <v>0</v>
      </c>
      <c r="E64" s="422"/>
      <c r="F64" s="127" t="s">
        <v>189</v>
      </c>
      <c r="G64" s="127">
        <f>COUNTIFS($B$9:$B$39,"ma",[0]!Juli,"Skema 1")</f>
        <v>0</v>
      </c>
      <c r="H64" s="127"/>
      <c r="I64" s="127"/>
      <c r="J64" s="353"/>
      <c r="K64" s="354"/>
      <c r="L64" s="354"/>
      <c r="M64" s="243"/>
      <c r="N64" s="243"/>
      <c r="O64" s="218"/>
      <c r="P64" s="252"/>
      <c r="Q64" s="252"/>
      <c r="R64" s="252"/>
      <c r="S64" s="243"/>
      <c r="T64" s="252"/>
      <c r="V64" s="243"/>
      <c r="W64" s="243"/>
      <c r="Y64"/>
      <c r="Z64"/>
      <c r="AA64" s="94"/>
      <c r="AB64" s="94"/>
      <c r="BI64" s="1"/>
      <c r="CF64" s="1"/>
      <c r="CQ64" s="253"/>
      <c r="CR64" s="253"/>
      <c r="CY64"/>
      <c r="CZ64"/>
    </row>
    <row r="65" spans="1:109" hidden="1">
      <c r="A65" s="972" t="s">
        <v>210</v>
      </c>
      <c r="B65" s="972"/>
      <c r="C65" s="972"/>
      <c r="D65" s="547">
        <f>COUNTIF([0]!Juli,"Skema 2")</f>
        <v>0</v>
      </c>
      <c r="E65" s="549"/>
      <c r="F65" s="547" t="s">
        <v>190</v>
      </c>
      <c r="G65" s="547">
        <f>COUNTIFS($B$9:$B$39,"ti",[0]!Juli,"Skema 1")</f>
        <v>0</v>
      </c>
      <c r="H65" s="547"/>
      <c r="I65" s="127"/>
      <c r="J65" s="353"/>
      <c r="K65" s="354"/>
      <c r="L65" s="354"/>
      <c r="M65" s="243"/>
      <c r="N65" s="243"/>
      <c r="O65" s="218"/>
      <c r="P65" s="252"/>
      <c r="Q65" s="252"/>
      <c r="R65" s="252"/>
      <c r="S65" s="243"/>
      <c r="T65" s="252"/>
      <c r="V65" s="243"/>
      <c r="W65" s="243"/>
      <c r="Y65"/>
      <c r="Z65"/>
      <c r="AA65" s="94"/>
      <c r="AB65" s="94"/>
      <c r="BI65" s="1"/>
      <c r="CF65" s="1"/>
      <c r="CQ65" s="253"/>
      <c r="CR65" s="253"/>
      <c r="CY65"/>
      <c r="CZ65"/>
    </row>
    <row r="66" spans="1:109" hidden="1">
      <c r="A66" s="972" t="s">
        <v>211</v>
      </c>
      <c r="B66" s="972"/>
      <c r="C66" s="972"/>
      <c r="D66" s="547">
        <f>COUNTIF([0]!Juli,"Skema 3")</f>
        <v>0</v>
      </c>
      <c r="E66" s="549"/>
      <c r="F66" s="547" t="s">
        <v>191</v>
      </c>
      <c r="G66" s="547">
        <f>COUNTIFS($B$9:$B$39,"on",[0]!Juli,"Skema 1")</f>
        <v>0</v>
      </c>
      <c r="H66" s="547"/>
      <c r="I66" s="127"/>
      <c r="J66" s="353"/>
      <c r="K66" s="354"/>
      <c r="L66" s="477"/>
      <c r="M66" s="243"/>
      <c r="N66" s="550">
        <f>IF($C$9="Ikke relevant",V9,0)+IF($C$10="Ikke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relevant",V37,0)+IF($C$38="Ikke relevant",V38,0)+IF($C$39="Ikke relevant",V39,0)</f>
        <v>0</v>
      </c>
      <c r="O66" s="550">
        <f t="shared" ref="O66:P66" si="34">IF($C$9="Ikke relevant",W9,0)+IF($C$10="Ikke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relevant",W37,0)+IF($C$38="Ikke relevant",W38,0)+IF($C$39="Ikke relevant",W39,0)</f>
        <v>0</v>
      </c>
      <c r="P66" s="550">
        <f t="shared" si="34"/>
        <v>0</v>
      </c>
      <c r="Q66" s="579" t="s">
        <v>622</v>
      </c>
      <c r="R66" s="252"/>
      <c r="S66" s="243"/>
      <c r="T66" s="252"/>
      <c r="V66" s="243"/>
      <c r="W66" s="243"/>
      <c r="Y66"/>
      <c r="Z66"/>
      <c r="AA66" s="94"/>
      <c r="AB66" s="94"/>
      <c r="BI66" s="1"/>
      <c r="CF66" s="1"/>
      <c r="CQ66" s="253"/>
      <c r="CR66" s="253"/>
      <c r="CY66"/>
      <c r="CZ66"/>
    </row>
    <row r="67" spans="1:109" hidden="1">
      <c r="A67" s="972" t="s">
        <v>212</v>
      </c>
      <c r="B67" s="972"/>
      <c r="C67" s="972"/>
      <c r="D67" s="547">
        <f>COUNTIF([0]!Juli,"Skema 4")</f>
        <v>0</v>
      </c>
      <c r="E67" s="549"/>
      <c r="F67" s="547" t="s">
        <v>193</v>
      </c>
      <c r="G67" s="547">
        <f>COUNTIFS($B$9:$B$39,"to",[0]!Juli,"Skema 1")</f>
        <v>0</v>
      </c>
      <c r="H67" s="547"/>
      <c r="I67" s="234" t="s">
        <v>496</v>
      </c>
      <c r="J67" s="532">
        <f>IF(C9="Ikke relevant",R9,0)+IF(C10="Ikke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K67" s="477"/>
      <c r="L67" s="477"/>
      <c r="M67" s="470" t="s">
        <v>327</v>
      </c>
      <c r="N67" s="470" t="s">
        <v>423</v>
      </c>
      <c r="O67" s="260"/>
      <c r="P67" s="260"/>
      <c r="Q67" s="260"/>
      <c r="R67" s="260"/>
      <c r="S67" s="260"/>
      <c r="T67" s="260"/>
      <c r="U67" s="260"/>
      <c r="V67" s="260"/>
      <c r="W67" s="260"/>
      <c r="X67" s="260"/>
      <c r="Y67" s="243"/>
      <c r="Z67" s="243"/>
      <c r="AA67" s="243"/>
      <c r="AB67" s="218"/>
      <c r="AC67" s="252"/>
      <c r="AD67" s="252"/>
      <c r="AE67" s="252"/>
      <c r="AF67" s="218"/>
      <c r="AG67" s="243"/>
      <c r="AI67" s="243"/>
      <c r="AJ67" s="243"/>
      <c r="AN67" s="94"/>
      <c r="AO67" s="94"/>
      <c r="BV67" s="1"/>
      <c r="CS67" s="1"/>
      <c r="CY67"/>
      <c r="CZ67"/>
      <c r="DD67" s="253"/>
      <c r="DE67" s="253"/>
    </row>
    <row r="68" spans="1:109" hidden="1">
      <c r="A68" s="547" t="s">
        <v>113</v>
      </c>
      <c r="B68" s="547"/>
      <c r="C68" s="547"/>
      <c r="D68" s="547">
        <f>COUNTIF([0]!Juli,"Fagdag")+COUNTIF([0]!Juli,"emnedag")</f>
        <v>0</v>
      </c>
      <c r="E68" s="549"/>
      <c r="F68" s="547" t="s">
        <v>192</v>
      </c>
      <c r="G68" s="547">
        <f>COUNTIFS($B$9:$B$39,"fr",[0]!Juli,"Skema 1")</f>
        <v>0</v>
      </c>
      <c r="H68" s="547"/>
      <c r="I68" s="44" t="s">
        <v>329</v>
      </c>
      <c r="J68" s="353"/>
      <c r="K68" s="477"/>
      <c r="L68" s="477"/>
      <c r="M68" s="463">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68" s="463">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68" s="463"/>
      <c r="P68" s="354"/>
      <c r="Q68" s="465" t="s">
        <v>331</v>
      </c>
      <c r="R68" s="234"/>
      <c r="S68" s="234"/>
      <c r="T68" s="234" t="s">
        <v>332</v>
      </c>
      <c r="U68" s="234"/>
      <c r="V68" s="234"/>
      <c r="W68" s="122"/>
      <c r="X68" s="122"/>
      <c r="Y68" s="243"/>
      <c r="Z68" s="243"/>
      <c r="AA68" s="243"/>
      <c r="AB68" s="218"/>
      <c r="AC68" s="252"/>
      <c r="AD68" s="252"/>
      <c r="AE68" s="252"/>
      <c r="AF68" s="218"/>
      <c r="AG68" s="243"/>
      <c r="AI68" s="243"/>
      <c r="AJ68" s="243"/>
      <c r="AN68" s="94"/>
      <c r="AO68" s="94"/>
      <c r="BV68" s="1"/>
      <c r="CS68" s="1"/>
      <c r="CY68"/>
      <c r="CZ68"/>
      <c r="DD68" s="253"/>
      <c r="DE68" s="253"/>
    </row>
    <row r="69" spans="1:109" hidden="1">
      <c r="A69" s="553" t="s">
        <v>112</v>
      </c>
      <c r="B69" s="547"/>
      <c r="C69" s="547"/>
      <c r="D69" s="547">
        <f>COUNTIF([0]!Juli,"Lejrskole")+COUNTIF([0]!Juli,"Ekskursion")</f>
        <v>0</v>
      </c>
      <c r="E69" s="549"/>
      <c r="F69" s="547"/>
      <c r="G69" s="547"/>
      <c r="H69" s="547"/>
      <c r="I69" s="44" t="s">
        <v>343</v>
      </c>
      <c r="J69" s="353"/>
      <c r="K69" s="477"/>
      <c r="L69" s="477"/>
      <c r="M69" s="463">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69" s="463">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69" s="464">
        <v>0.5</v>
      </c>
      <c r="P69" s="354"/>
      <c r="Q69" s="465" t="s">
        <v>328</v>
      </c>
      <c r="R69" s="234"/>
      <c r="S69" s="234"/>
      <c r="T69" s="234"/>
      <c r="U69" s="234"/>
      <c r="V69" s="234"/>
      <c r="W69" s="122"/>
      <c r="X69" s="122"/>
      <c r="Y69" s="243"/>
      <c r="Z69" s="243"/>
      <c r="AA69" s="243"/>
      <c r="AB69" s="218"/>
      <c r="AC69" s="252"/>
      <c r="AD69" s="252"/>
      <c r="AE69" s="252"/>
      <c r="AF69" s="218"/>
      <c r="AG69" s="243"/>
      <c r="AI69" s="243"/>
      <c r="AJ69" s="243"/>
      <c r="AN69" s="94"/>
      <c r="AO69" s="94"/>
      <c r="BV69" s="1"/>
      <c r="CS69" s="1"/>
      <c r="CY69"/>
      <c r="CZ69"/>
      <c r="DD69" s="253"/>
      <c r="DE69" s="253"/>
    </row>
    <row r="70" spans="1:109" hidden="1">
      <c r="A70" s="547" t="s">
        <v>111</v>
      </c>
      <c r="B70" s="547"/>
      <c r="C70" s="547"/>
      <c r="D70" s="547">
        <f>COUNTIF([0]!Juli,"Pæd.dag")</f>
        <v>0</v>
      </c>
      <c r="E70" s="549"/>
      <c r="F70" s="547" t="s">
        <v>194</v>
      </c>
      <c r="G70" s="547">
        <f>COUNTIFS($B$9:$B$39,"ma",[0]!Juli,"Skema 2")</f>
        <v>0</v>
      </c>
      <c r="H70" s="547"/>
      <c r="I70" s="127" t="s">
        <v>342</v>
      </c>
      <c r="J70" s="353"/>
      <c r="K70" s="477"/>
      <c r="L70" s="477"/>
      <c r="M70" s="463">
        <f>SUM(M68:M69)</f>
        <v>0</v>
      </c>
      <c r="N70" s="463">
        <f>SUM(N68:N69)</f>
        <v>0</v>
      </c>
      <c r="O70" s="463">
        <f>(M70+N70)/2</f>
        <v>0</v>
      </c>
      <c r="P70" s="354">
        <f>SUM(M70:O70)</f>
        <v>0</v>
      </c>
      <c r="Q70" s="465">
        <f>(M70+N70)*25%</f>
        <v>0</v>
      </c>
      <c r="R70" s="234"/>
      <c r="S70" s="234"/>
      <c r="T70" s="234"/>
      <c r="U70" s="234"/>
      <c r="V70" s="234"/>
      <c r="W70" s="122"/>
      <c r="X70" s="122"/>
      <c r="Y70" s="243"/>
      <c r="Z70" s="243"/>
      <c r="AA70" s="243"/>
      <c r="AB70" s="218"/>
      <c r="AC70" s="252"/>
      <c r="AD70" s="252"/>
      <c r="AE70" s="252"/>
      <c r="AG70" s="243"/>
      <c r="AI70" s="243"/>
      <c r="AJ70" s="243"/>
      <c r="AN70" s="94"/>
      <c r="AO70" s="94"/>
      <c r="BV70" s="1"/>
      <c r="CS70" s="1"/>
      <c r="CY70"/>
      <c r="CZ70"/>
      <c r="DD70" s="253"/>
      <c r="DE70" s="253"/>
    </row>
    <row r="71" spans="1:109" hidden="1">
      <c r="A71" s="547" t="s">
        <v>121</v>
      </c>
      <c r="B71" s="547"/>
      <c r="C71" s="547"/>
      <c r="D71" s="547">
        <f>COUNTIF([0]!Juli,"Weekend")</f>
        <v>8</v>
      </c>
      <c r="E71" s="549"/>
      <c r="F71" s="547" t="s">
        <v>195</v>
      </c>
      <c r="G71" s="547">
        <f>COUNTIFS($B$9:$B$39,"ti",[0]!Juli,"Skema 2")</f>
        <v>0</v>
      </c>
      <c r="H71" s="547"/>
      <c r="I71" s="127" t="s">
        <v>482</v>
      </c>
      <c r="J71" s="511"/>
      <c r="K71" s="512"/>
      <c r="L71" s="512"/>
      <c r="M71" s="513">
        <f>IF(Stamoplysninger!$B$26="Weekendtimer og weekendtillæg afspadseres.",M68,0)</f>
        <v>0</v>
      </c>
      <c r="N71" s="513">
        <f>IF(Stamoplysninger!$B$26="Weekendtimer og weekendtillæg afspadseres.",N68,0)</f>
        <v>0</v>
      </c>
      <c r="O71" s="463"/>
      <c r="P71" s="354"/>
      <c r="Q71" s="465" t="s">
        <v>333</v>
      </c>
      <c r="R71" s="234"/>
      <c r="S71" s="234">
        <f>IF(Stamoplysninger!B22="Ulempetillæg afspadseres med 25%(Kræver en aftale imellem ledelsen og den ansatte)",Q70,0)</f>
        <v>0</v>
      </c>
      <c r="T71" s="234">
        <f>IF(Stamoplysninger!B22="Ulempetillæg afspadseres med 25%(Kræver en aftale imellem ledelsen og den ansatte)",(R40+X40)*0.25,0)</f>
        <v>0</v>
      </c>
      <c r="U71" s="234"/>
      <c r="V71" s="234"/>
      <c r="W71" s="122"/>
      <c r="X71" s="122"/>
      <c r="Y71"/>
      <c r="Z71"/>
      <c r="AM71" s="1"/>
      <c r="BJ71" s="1"/>
      <c r="BU71" s="253"/>
      <c r="BV71" s="253"/>
      <c r="CY71"/>
      <c r="CZ71"/>
    </row>
    <row r="72" spans="1:109" hidden="1">
      <c r="A72" s="547" t="s">
        <v>128</v>
      </c>
      <c r="B72" s="547"/>
      <c r="C72" s="547"/>
      <c r="D72" s="547">
        <f>COUNTIF([0]!Juli,"SH-dag")</f>
        <v>0</v>
      </c>
      <c r="E72" s="549"/>
      <c r="F72" s="547" t="s">
        <v>196</v>
      </c>
      <c r="G72" s="547">
        <f>COUNTIFS($B$9:$B$39,"on",[0]!Juli,"Skema 2")</f>
        <v>0</v>
      </c>
      <c r="H72" s="547"/>
      <c r="I72" s="510" t="s">
        <v>483</v>
      </c>
      <c r="J72" s="519"/>
      <c r="K72" s="519"/>
      <c r="L72" s="519"/>
      <c r="M72" s="513">
        <f>IF(Stamoplysninger!$B$26="Weekendtimer og weekendtillæg afspadseres.",O70,0)</f>
        <v>0</v>
      </c>
      <c r="N72" s="513">
        <f>IF(Stamoplysninger!$B$26="Weekendtimer og weekendtillæg afspadseres.",O70,0)</f>
        <v>0</v>
      </c>
      <c r="O72" s="463"/>
      <c r="P72" s="354"/>
      <c r="Q72" s="465" t="s">
        <v>330</v>
      </c>
      <c r="R72" s="234"/>
      <c r="S72" s="234">
        <f>IF(Stamoplysninger!B22="Ulempetillæg udbetales med 25% af nettotimelønnen.",Q70,0)</f>
        <v>0</v>
      </c>
      <c r="T72" s="234">
        <f>IF(Stamoplysninger!B22="Ulempetillæg udbetales med 25% af nettotimelønnen.",(R40+X40)*0.25,0)</f>
        <v>0</v>
      </c>
      <c r="U72" s="234"/>
      <c r="V72" s="234"/>
      <c r="W72" s="122"/>
      <c r="X72" s="122"/>
      <c r="Y72"/>
      <c r="Z72"/>
      <c r="AM72" s="1"/>
      <c r="BJ72" s="1"/>
      <c r="BU72" s="253"/>
      <c r="BV72" s="253"/>
      <c r="CY72"/>
      <c r="CZ72"/>
    </row>
    <row r="73" spans="1:109" hidden="1">
      <c r="A73" s="547" t="s">
        <v>110</v>
      </c>
      <c r="B73" s="547"/>
      <c r="C73" s="547"/>
      <c r="D73" s="547">
        <f>COUNTIF([0]!Juli,"Feriedag")</f>
        <v>18</v>
      </c>
      <c r="E73" s="549"/>
      <c r="F73" s="547" t="s">
        <v>197</v>
      </c>
      <c r="G73" s="547">
        <f>COUNTIFS($B$9:$B$39,"to",[0]!Juli,"Skema 2")</f>
        <v>0</v>
      </c>
      <c r="H73" s="547"/>
      <c r="I73" s="510" t="s">
        <v>484</v>
      </c>
      <c r="J73" s="520"/>
      <c r="K73" s="520"/>
      <c r="L73" s="520"/>
      <c r="M73" s="514">
        <f>IF(Stamoplysninger!$B$26="Weekendtimer og weekendtillæg udbetales.",M68,0)</f>
        <v>0</v>
      </c>
      <c r="N73" s="514">
        <f>IF(Stamoplysninger!$B$26="Weekendtimer og weekendtillæg udbetales.",N68,0)</f>
        <v>0</v>
      </c>
      <c r="O73" s="463"/>
      <c r="P73" s="354"/>
      <c r="Q73" s="465"/>
      <c r="R73" s="234"/>
      <c r="S73" s="234"/>
      <c r="T73" s="234"/>
      <c r="U73" s="234"/>
      <c r="V73" s="234"/>
      <c r="W73" s="122"/>
      <c r="X73" s="122"/>
      <c r="Y73"/>
      <c r="Z73"/>
      <c r="AM73" s="1"/>
      <c r="BJ73" s="1"/>
      <c r="BU73" s="253"/>
      <c r="BV73" s="253"/>
      <c r="CY73"/>
      <c r="CZ73"/>
    </row>
    <row r="74" spans="1:109" hidden="1">
      <c r="A74" s="547" t="s">
        <v>181</v>
      </c>
      <c r="B74" s="547"/>
      <c r="C74" s="547"/>
      <c r="D74" s="547">
        <f>COUNTIF([0]!Juli,"Nul-dag")</f>
        <v>5</v>
      </c>
      <c r="E74" s="549"/>
      <c r="F74" s="547" t="s">
        <v>198</v>
      </c>
      <c r="G74" s="547">
        <f>COUNTIFS($B$9:$B$39,"fr",[0]!Juli,"Skema 2")</f>
        <v>0</v>
      </c>
      <c r="H74" s="547"/>
      <c r="I74" s="510" t="s">
        <v>485</v>
      </c>
      <c r="J74" s="520"/>
      <c r="K74" s="520"/>
      <c r="L74" s="520"/>
      <c r="M74" s="514">
        <f>IF(Stamoplysninger!$B$26="Weekendtimer og weekendtillæg udbetales.",O70,0)</f>
        <v>0</v>
      </c>
      <c r="N74" s="514">
        <f>IF(Stamoplysninger!$B$26="Weekendtimer og weekendtillæg udbetales.",O70,0)</f>
        <v>0</v>
      </c>
      <c r="O74" s="463"/>
      <c r="P74" s="354"/>
      <c r="Q74" s="465"/>
      <c r="R74" s="234"/>
      <c r="S74" s="234"/>
      <c r="T74" s="234"/>
      <c r="U74" s="234"/>
      <c r="V74" s="234"/>
      <c r="W74" s="122"/>
      <c r="X74" s="122"/>
      <c r="Y74"/>
      <c r="Z74"/>
      <c r="AM74" s="1"/>
      <c r="BJ74" s="1"/>
      <c r="BU74" s="253"/>
      <c r="BV74" s="253"/>
      <c r="CY74"/>
      <c r="CZ74"/>
    </row>
    <row r="75" spans="1:109" hidden="1">
      <c r="A75" s="547" t="s">
        <v>444</v>
      </c>
      <c r="B75" s="547"/>
      <c r="C75" s="547"/>
      <c r="D75" s="547">
        <f>COUNTIF([0]!Juli,"Orlov")</f>
        <v>0</v>
      </c>
      <c r="E75" s="549"/>
      <c r="F75" s="556"/>
      <c r="G75" s="556"/>
      <c r="H75" s="556"/>
      <c r="I75" s="510" t="s">
        <v>334</v>
      </c>
      <c r="J75" s="516"/>
      <c r="K75" s="516"/>
      <c r="L75" s="516"/>
      <c r="M75" s="515">
        <f>IF(Stamoplysninger!$B$26="Der er indgået lokalaftale omkring weekendtimer.(Kræver aftale med TR/FSL) Weekendtillæg afspadseres.",O70,0)</f>
        <v>0</v>
      </c>
      <c r="N75" s="515">
        <f>IF(Stamoplysninger!$B$26="Der er indgået lokalaftale omkring weekendtimer.(Kræver aftale med TR/FSL) Weekendtillæg afspadseres.",N68,0)</f>
        <v>0</v>
      </c>
      <c r="O75" s="463"/>
      <c r="P75" s="354"/>
      <c r="Q75" s="465"/>
      <c r="R75" s="234"/>
      <c r="S75" s="234"/>
      <c r="T75" s="234"/>
      <c r="U75" s="234"/>
      <c r="V75" s="234"/>
      <c r="W75" s="122"/>
      <c r="X75" s="122"/>
      <c r="Y75" s="417">
        <f>IF(Stamoplysninger!B26="Der er indgået lokalaftale omkring weekendtillæg. Weekendtimerne afspadseres.",Juli!#REF!,0)</f>
        <v>0</v>
      </c>
      <c r="Z75" s="417"/>
      <c r="AA75" s="417"/>
      <c r="AB75" s="418"/>
      <c r="AC75" s="127"/>
      <c r="AD75" s="127"/>
      <c r="AE75" s="234"/>
      <c r="AG75" s="234"/>
      <c r="AH75" s="234"/>
      <c r="AI75" s="234"/>
      <c r="AJ75" s="122"/>
      <c r="AK75" s="122"/>
      <c r="BA75" s="1"/>
      <c r="BX75" s="1"/>
      <c r="CI75" s="253"/>
      <c r="CJ75" s="253"/>
      <c r="CY75"/>
      <c r="CZ75"/>
    </row>
    <row r="76" spans="1:109" hidden="1">
      <c r="A76" s="547" t="s">
        <v>161</v>
      </c>
      <c r="B76" s="547"/>
      <c r="C76" s="547"/>
      <c r="D76" s="547">
        <f>COUNTIF([0]!Juli,"Ikke relevant")</f>
        <v>0</v>
      </c>
      <c r="E76" s="549"/>
      <c r="F76" s="547" t="s">
        <v>199</v>
      </c>
      <c r="G76" s="547">
        <f>COUNTIFS($B$9:$B$39,"ma",[0]!Juli,"Skema 3")</f>
        <v>0</v>
      </c>
      <c r="H76" s="547">
        <v>1</v>
      </c>
      <c r="I76" s="510" t="s">
        <v>335</v>
      </c>
      <c r="J76" s="516"/>
      <c r="K76" s="516"/>
      <c r="L76" s="516"/>
      <c r="M76" s="515">
        <f>IF(Stamoplysninger!$B$26="Der er indgået lokalaftale omkring weekendtimer(Kræver aftale med TR/FSL). Weekendtillæg udbetales.",O70,0)</f>
        <v>0</v>
      </c>
      <c r="N76" s="515">
        <f>IF(Stamoplysninger!$B$26="Der er indgået lokalaftale omkring weekendtimer(Kræver aftale med TR/FSL). Weekendtillæg udbetales.",N68,0)</f>
        <v>0</v>
      </c>
      <c r="O76" s="463"/>
      <c r="P76" s="354"/>
      <c r="Q76" s="465"/>
      <c r="R76" s="234"/>
      <c r="S76" s="234"/>
      <c r="T76" s="234"/>
      <c r="U76" s="234"/>
      <c r="V76" s="234"/>
      <c r="W76" s="122"/>
      <c r="X76" s="122"/>
      <c r="Y76" s="417">
        <f>IF(Stamoplysninger!B26="Der er indgået lokalaftale omkring weekendtillæg. Weekendtimerne udbetales.",Juli!#REF!,0)</f>
        <v>0</v>
      </c>
      <c r="Z76" s="417"/>
      <c r="AA76" s="417"/>
      <c r="AB76" s="418"/>
      <c r="AC76" s="127"/>
      <c r="AD76" s="127"/>
      <c r="AE76" s="234"/>
      <c r="AG76" s="234"/>
      <c r="AH76" s="234"/>
      <c r="AI76" s="234"/>
      <c r="AJ76" s="122"/>
      <c r="AK76" s="122"/>
      <c r="BA76" s="1"/>
      <c r="BX76" s="1"/>
      <c r="CI76" s="253"/>
      <c r="CJ76" s="253"/>
      <c r="CY76"/>
      <c r="CZ76"/>
    </row>
    <row r="77" spans="1:109" hidden="1">
      <c r="A77" s="547" t="s">
        <v>109</v>
      </c>
      <c r="B77" s="547"/>
      <c r="C77" s="547"/>
      <c r="D77" s="547">
        <f>SUM(D64:D76)</f>
        <v>31</v>
      </c>
      <c r="E77" s="547"/>
      <c r="F77" s="547" t="s">
        <v>200</v>
      </c>
      <c r="G77" s="547">
        <f>COUNTIFS($B$9:$B$39,"ti",[0]!Juli,"Skema 3")</f>
        <v>0</v>
      </c>
      <c r="H77" s="547">
        <v>2</v>
      </c>
      <c r="I77" s="510" t="s">
        <v>487</v>
      </c>
      <c r="J77" s="516"/>
      <c r="K77" s="516"/>
      <c r="L77" s="516"/>
      <c r="M77" s="515">
        <f>IF(Stamoplysninger!$B$26="Der er indgået lokalaftale omkring weekendtimer.(Kræver aftale med TR/FSL) Weekendtillæg afspadseres.",M68,0)</f>
        <v>0</v>
      </c>
      <c r="N77" s="515">
        <f>IF(Stamoplysninger!$B$26="Der er indgået lokalaftale omkring weekendtimer.(Kræver aftale med TR/FSL) Weekendtillæg afspadseres.",O70,0)</f>
        <v>0</v>
      </c>
      <c r="O77" s="44"/>
      <c r="P77" s="44"/>
      <c r="Q77" s="44"/>
      <c r="R77" s="44"/>
      <c r="S77" s="44"/>
      <c r="T77" s="44"/>
      <c r="Y77" s="44"/>
      <c r="Z77" s="44"/>
      <c r="AA77" s="44"/>
      <c r="AB77" s="44"/>
      <c r="AC77" s="44"/>
      <c r="AD77" s="44"/>
      <c r="AE77" s="44"/>
      <c r="AG77" s="44"/>
      <c r="AM77" s="1"/>
      <c r="BA77" s="1"/>
      <c r="BX77" s="1"/>
      <c r="CI77" s="253"/>
      <c r="CJ77" s="253"/>
      <c r="CY77"/>
      <c r="CZ77"/>
    </row>
    <row r="78" spans="1:109" hidden="1">
      <c r="A78" s="547" t="s">
        <v>242</v>
      </c>
      <c r="B78" s="547"/>
      <c r="C78" s="547"/>
      <c r="D78" s="547">
        <f>D77-D71-A87-D76</f>
        <v>23</v>
      </c>
      <c r="E78" s="557"/>
      <c r="F78" s="547" t="s">
        <v>201</v>
      </c>
      <c r="G78" s="547">
        <f>COUNTIFS($B$9:$B$39,"on",[0]!Juli,"Skema 3")</f>
        <v>0</v>
      </c>
      <c r="H78" s="547"/>
      <c r="I78" s="510" t="s">
        <v>488</v>
      </c>
      <c r="J78" s="516"/>
      <c r="K78" s="516"/>
      <c r="L78" s="516"/>
      <c r="M78" s="515">
        <f>IF(Stamoplysninger!$B$26="Der er indgået lokalaftale omkring weekendtimer(Kræver aftale med TR/FSL). Weekendtillæg udbetales.",M68,0)</f>
        <v>0</v>
      </c>
      <c r="N78" s="515">
        <f>IF(Stamoplysninger!$B$26="Der er indgået lokalaftale omkring weekendtimer(Kræver aftale med TR/FSL). Weekendtillæg udbetales.",O70,0)</f>
        <v>0</v>
      </c>
      <c r="Y78"/>
      <c r="Z78" s="1"/>
      <c r="AO78" s="1"/>
      <c r="BL78" s="1"/>
      <c r="BW78" s="253"/>
      <c r="BX78" s="253"/>
      <c r="CY78"/>
      <c r="CZ78"/>
    </row>
    <row r="79" spans="1:109" hidden="1">
      <c r="A79" s="547"/>
      <c r="B79" s="547"/>
      <c r="C79" s="547"/>
      <c r="D79" s="547"/>
      <c r="E79" s="547"/>
      <c r="F79" s="547" t="s">
        <v>202</v>
      </c>
      <c r="G79" s="547">
        <f>COUNTIFS($B$9:$B$39,"to",[0]!Juli,"Skema 3")</f>
        <v>0</v>
      </c>
      <c r="H79" s="547"/>
      <c r="I79" s="510" t="s">
        <v>336</v>
      </c>
      <c r="J79" s="518"/>
      <c r="K79" s="518"/>
      <c r="L79" s="518"/>
      <c r="M79" s="517">
        <f>IF(Stamoplysninger!$B$26="Der er indgået lokalaftale omkring weekendtillæg(Kræver aftale med TR/FSL). Weekendtimerne afspadseres.",M68,0)</f>
        <v>0</v>
      </c>
      <c r="N79" s="517">
        <f>IF(Stamoplysninger!$B$26="Der er indgået lokalaftale omkring weekendtillæg(Kræver aftale med TR/FSL). Weekendtimerne afspadseres.",N68,0)</f>
        <v>0</v>
      </c>
      <c r="Y79"/>
      <c r="Z79" s="1"/>
      <c r="AO79" s="1"/>
      <c r="BL79" s="1"/>
      <c r="BW79" s="253"/>
      <c r="BX79" s="253"/>
      <c r="CY79"/>
      <c r="CZ79"/>
    </row>
    <row r="80" spans="1:109" hidden="1">
      <c r="A80" s="547"/>
      <c r="B80" s="547"/>
      <c r="C80" s="547"/>
      <c r="D80" s="547"/>
      <c r="E80" s="547"/>
      <c r="F80" s="547" t="s">
        <v>203</v>
      </c>
      <c r="G80" s="547">
        <f>COUNTIFS($B$9:$B$39,"fr",[0]!Juli,"Skema 3")</f>
        <v>0</v>
      </c>
      <c r="H80" s="547">
        <v>1</v>
      </c>
      <c r="I80" s="510" t="s">
        <v>337</v>
      </c>
      <c r="J80" s="518"/>
      <c r="K80" s="518"/>
      <c r="L80" s="518"/>
      <c r="M80" s="517">
        <f>IF(Stamoplysninger!$B$26="Der er indgået lokalaftale omkring weekendtillæg(Kræver aftale med TR/FSL). Weekendtimerne udbetales.",M68,0)</f>
        <v>0</v>
      </c>
      <c r="N80" s="517">
        <f>IF(Stamoplysninger!$B$26="Der er indgået lokalaftale omkring weekendtillæg(Kræver aftale med TR/FSL). Weekendtimerne udbetales.",N68,0)</f>
        <v>0</v>
      </c>
      <c r="Y80"/>
      <c r="Z80" s="1"/>
      <c r="AO80" s="1"/>
      <c r="BL80" s="1"/>
      <c r="BW80" s="253"/>
      <c r="BX80" s="253"/>
      <c r="CY80"/>
      <c r="CZ80"/>
    </row>
    <row r="81" spans="1:111" hidden="1">
      <c r="A81" s="547" t="s">
        <v>298</v>
      </c>
      <c r="B81" s="547"/>
      <c r="C81" s="547"/>
      <c r="D81" s="547"/>
      <c r="E81" s="547"/>
      <c r="F81" s="547"/>
      <c r="G81" s="547"/>
      <c r="H81" s="547">
        <v>2</v>
      </c>
      <c r="I81" s="510" t="s">
        <v>489</v>
      </c>
      <c r="J81" s="518"/>
      <c r="K81" s="518"/>
      <c r="L81" s="518"/>
      <c r="M81" s="517">
        <f>IF(Stamoplysninger!$B$26="Der er indgået lokalaftale omkring weekendtillæg(Kræver aftale med TR/FSL). Weekendtimerne afspadseres.",M68,0)</f>
        <v>0</v>
      </c>
      <c r="N81" s="517">
        <f>IF(Stamoplysninger!$B$26="Der er indgået lokalaftale omkring weekendtillæg(Kræver aftale med TR/FSL). Weekendtimerne afspadseres.",N68,0)</f>
        <v>0</v>
      </c>
      <c r="Y81"/>
      <c r="Z81" s="1"/>
      <c r="AO81" s="1"/>
      <c r="BL81" s="1"/>
      <c r="BW81" s="253"/>
      <c r="BX81" s="253"/>
      <c r="CY81"/>
      <c r="CZ81"/>
    </row>
    <row r="82" spans="1:111" hidden="1">
      <c r="A82" s="547">
        <f>COUNTIF(C14:C15,"Skema 1")+COUNTIF(C14:C15,"Skema 2")+COUNTIF(C14:C15,"Skema 3")+COUNTIF(C14:C15,"Skema 4")+COUNTIF(C14:C15,"Fagdag")+COUNTIF(C14:C15,"Emnedag")+COUNTIF(C14:C15,"Lejrskole")+COUNTIF(C14:C15,"Ekskursion")+COUNTIF(C14:C15,"Pæd.dag")</f>
        <v>0</v>
      </c>
      <c r="B82" s="547"/>
      <c r="C82" s="547"/>
      <c r="D82" s="547"/>
      <c r="E82" s="547"/>
      <c r="F82" s="547" t="s">
        <v>204</v>
      </c>
      <c r="G82" s="547">
        <f>COUNTIFS($B$9:$B$39,"ma",[0]!Juli,"Skema 4")</f>
        <v>0</v>
      </c>
      <c r="H82" s="547"/>
      <c r="I82" s="510" t="s">
        <v>490</v>
      </c>
      <c r="J82" s="518"/>
      <c r="K82" s="518"/>
      <c r="L82" s="518"/>
      <c r="M82" s="517">
        <f>IF(Stamoplysninger!$B$26="Der er indgået lokalaftale omkring weekendtillæg(Kræver aftale med TR/FSL). Weekendtimerne udbetales.",M68,0)</f>
        <v>0</v>
      </c>
      <c r="N82" s="517">
        <f>IF(Stamoplysninger!$B$26="Der er indgået lokalaftale omkring weekendtillæg(Kræver aftale med TR/FSL). Weekendtimerne udbetales.",N68,0)</f>
        <v>0</v>
      </c>
      <c r="Y82"/>
      <c r="Z82" s="1"/>
      <c r="AO82" s="1"/>
      <c r="BL82" s="1"/>
      <c r="BW82" s="253"/>
      <c r="BX82" s="253"/>
      <c r="CY82"/>
      <c r="CZ82"/>
    </row>
    <row r="83" spans="1:111" hidden="1">
      <c r="A83" s="547">
        <f>COUNTIF(C21:C22,"Skema 1")+COUNTIF(C21:C22,"Skema 2")+COUNTIF(C21:C22,"Skema 3")+COUNTIF(C21:C22,"Skema 4")+COUNTIF(C21:C22,"Fagdag")+COUNTIF(C21:C22,"Emnedag")+COUNTIF(C21:C22,"Lejrskole")+COUNTIF(C21:C22,"Ekskursion")+COUNTIF(C21:C22,"Pæd.dag")</f>
        <v>0</v>
      </c>
      <c r="B83" s="547"/>
      <c r="C83" s="547"/>
      <c r="D83" s="547"/>
      <c r="E83" s="547"/>
      <c r="F83" s="547" t="s">
        <v>205</v>
      </c>
      <c r="G83" s="547">
        <f>COUNTIFS($B$9:$B$39,"ti",[0]!Juli,"Skema 4")</f>
        <v>0</v>
      </c>
      <c r="H83" s="547"/>
      <c r="I83" s="127" t="s">
        <v>486</v>
      </c>
      <c r="J83" s="477"/>
      <c r="K83" s="477"/>
      <c r="L83" s="477"/>
      <c r="M83" s="463">
        <f>IF(Stamoplysninger!$B$26="Der er indgået lokalaftale omkring weekendtimer og weekendtillæg.(Kræver aftale med TR/FSL).",M68,0)</f>
        <v>0</v>
      </c>
      <c r="N83" s="463"/>
      <c r="Y83"/>
      <c r="Z83" s="1"/>
      <c r="AO83" s="1"/>
      <c r="BL83" s="1"/>
      <c r="BW83" s="253"/>
      <c r="BX83" s="253"/>
      <c r="CY83"/>
      <c r="CZ83"/>
    </row>
    <row r="84" spans="1:111" hidden="1">
      <c r="A84" s="547">
        <f>COUNTIF(C28:C29,"Skema 1")+COUNTIF(C28:C29,"Skema 2")+COUNTIF(C28:C29,"Skema 3")+COUNTIF(C28:C29,"Skema 4")+COUNTIF(C28:C29,"Fagdag")+COUNTIF(C28:C29,"Emnedag")+COUNTIF(C28:C29,"Lejrskole")+COUNTIF(C28:C29,"Ekskursion")+COUNTIF(C28:C29,"Pæd.dag")</f>
        <v>0</v>
      </c>
      <c r="B84" s="547"/>
      <c r="C84" s="547"/>
      <c r="D84" s="547"/>
      <c r="E84" s="547"/>
      <c r="F84" s="547" t="s">
        <v>206</v>
      </c>
      <c r="G84" s="547">
        <f>COUNTIFS($B$9:$B$39,"on",[0]!Juli,"Skema 4")</f>
        <v>0</v>
      </c>
      <c r="H84" s="547"/>
      <c r="I84" s="127"/>
      <c r="J84" s="477"/>
      <c r="K84" s="477"/>
      <c r="L84" s="477"/>
      <c r="Y84"/>
      <c r="Z84" s="1"/>
      <c r="AO84" s="1"/>
      <c r="BL84" s="1"/>
      <c r="BW84" s="253"/>
      <c r="BX84" s="253"/>
      <c r="CY84"/>
      <c r="CZ84"/>
    </row>
    <row r="85" spans="1:111" hidden="1">
      <c r="A85" s="547">
        <f>COUNTIF(C35:C36,"Skema 1")+COUNTIF(C35:C36,"Skema 2")+COUNTIF(C35:C36,"Skema 3")+COUNTIF(C35:C36,"Skema 4")+COUNTIF(C35:C36,"Fagdag")+COUNTIF(C35:C36,"Emnedag")+COUNTIF(C35:C36,"Lejrskole")+COUNTIF(C35:C36,"Ekskursion")+COUNTIF(C35:C36,"Pæd.dag")</f>
        <v>0</v>
      </c>
      <c r="B85" s="547"/>
      <c r="C85" s="547"/>
      <c r="D85" s="547"/>
      <c r="E85" s="547"/>
      <c r="F85" s="547" t="s">
        <v>207</v>
      </c>
      <c r="G85" s="547">
        <f>COUNTIFS($B$9:$B$39,"to",[0]!Juli,"Skema 4")</f>
        <v>0</v>
      </c>
      <c r="H85" s="547"/>
      <c r="I85" s="127"/>
      <c r="J85" s="477"/>
      <c r="K85" s="477"/>
      <c r="L85" s="477"/>
      <c r="Y85"/>
      <c r="Z85"/>
      <c r="AO85" s="1">
        <f>SUM(N85:AN85)</f>
        <v>0</v>
      </c>
      <c r="BL85" s="1">
        <f>SUM(AI85:BK85)</f>
        <v>0</v>
      </c>
      <c r="BW85" s="253"/>
      <c r="BX85" s="253"/>
      <c r="CY85"/>
      <c r="CZ85"/>
    </row>
    <row r="86" spans="1:111" hidden="1">
      <c r="A86" s="547"/>
      <c r="B86" s="547"/>
      <c r="C86" s="547"/>
      <c r="D86" s="547"/>
      <c r="E86" s="547"/>
      <c r="F86" s="547" t="s">
        <v>208</v>
      </c>
      <c r="G86" s="547">
        <f>COUNTIFS($B$9:$B$39,"fr",[0]!Juli,"Skema 4")</f>
        <v>0</v>
      </c>
      <c r="H86" s="547"/>
      <c r="I86" s="44"/>
      <c r="J86" s="477"/>
      <c r="K86" s="477"/>
      <c r="L86" s="477"/>
      <c r="Y86"/>
      <c r="Z86"/>
      <c r="AO86" s="1">
        <f>SUM(N86:AN86)</f>
        <v>0</v>
      </c>
      <c r="BL86" s="1">
        <f>SUM(AI86:BK86)</f>
        <v>0</v>
      </c>
      <c r="BW86" s="253"/>
      <c r="BX86" s="253"/>
      <c r="CY86"/>
      <c r="CZ86"/>
    </row>
    <row r="87" spans="1:111" hidden="1">
      <c r="A87" s="547">
        <f>SUM(A82:A86)</f>
        <v>0</v>
      </c>
      <c r="B87" s="547"/>
      <c r="C87" s="547"/>
      <c r="D87" s="547"/>
      <c r="E87" s="547"/>
      <c r="F87" s="547"/>
      <c r="G87" s="555">
        <f>SUM(G64:G86)</f>
        <v>0</v>
      </c>
      <c r="H87" s="552"/>
      <c r="I87" s="44"/>
      <c r="J87" s="477"/>
      <c r="K87" s="477"/>
      <c r="L87" s="477"/>
      <c r="Y87"/>
      <c r="Z87"/>
      <c r="AO87" s="1">
        <f>SUM(N87:AN87)</f>
        <v>0</v>
      </c>
      <c r="BL87" s="1">
        <f>SUM(AI87:BK87)</f>
        <v>0</v>
      </c>
      <c r="BW87" s="253"/>
      <c r="BX87" s="253"/>
      <c r="CY87"/>
      <c r="CZ87"/>
    </row>
    <row r="88" spans="1:111" hidden="1">
      <c r="A88" s="552"/>
      <c r="B88" s="552"/>
      <c r="C88" s="552"/>
      <c r="D88" s="552"/>
      <c r="E88" s="547"/>
      <c r="F88" s="547"/>
      <c r="G88" s="547"/>
      <c r="H88" s="552"/>
      <c r="I88" s="477"/>
      <c r="J88" s="477"/>
      <c r="K88" s="477"/>
      <c r="L88" s="477"/>
      <c r="Y88"/>
      <c r="Z88"/>
      <c r="AO88" s="1">
        <f>SUM(N88:AN88)</f>
        <v>0</v>
      </c>
      <c r="BL88" s="1">
        <f>SUM(AI88:BK88)</f>
        <v>0</v>
      </c>
      <c r="BW88" s="253"/>
      <c r="BX88" s="253"/>
      <c r="CY88"/>
      <c r="CZ88"/>
    </row>
    <row r="89" spans="1:111">
      <c r="A89" s="552"/>
      <c r="B89" s="552"/>
      <c r="C89" s="552"/>
      <c r="D89" s="552"/>
      <c r="E89" s="547"/>
      <c r="F89" s="547"/>
      <c r="G89" s="547"/>
      <c r="H89" s="552"/>
      <c r="I89" s="477"/>
      <c r="J89" s="477"/>
      <c r="K89" s="477"/>
      <c r="L89" s="477"/>
      <c r="Y89"/>
      <c r="Z89"/>
      <c r="BW89" s="253"/>
      <c r="BX89" s="253"/>
      <c r="CY89"/>
      <c r="CZ89"/>
    </row>
    <row r="90" spans="1:111">
      <c r="A90" s="552"/>
      <c r="B90" s="552"/>
      <c r="C90" s="552"/>
      <c r="D90" s="552"/>
      <c r="E90" s="547"/>
      <c r="F90" s="547"/>
      <c r="G90" s="547"/>
      <c r="H90" s="552"/>
      <c r="I90" s="477"/>
      <c r="J90" s="477"/>
      <c r="K90" s="477"/>
      <c r="L90" s="477"/>
      <c r="Y90"/>
      <c r="Z90"/>
      <c r="BW90" s="253"/>
      <c r="BX90" s="253"/>
      <c r="CY90"/>
      <c r="CZ90"/>
    </row>
    <row r="91" spans="1:111">
      <c r="A91" s="552"/>
      <c r="B91" s="552"/>
      <c r="C91" s="552"/>
      <c r="D91" s="552"/>
      <c r="E91" s="547"/>
      <c r="F91" s="547"/>
      <c r="G91" s="547"/>
      <c r="H91" s="552"/>
      <c r="I91" s="477"/>
      <c r="J91" s="477"/>
      <c r="K91" s="477"/>
      <c r="L91" s="477"/>
      <c r="Y91"/>
      <c r="Z91"/>
      <c r="BW91" s="253"/>
      <c r="BX91" s="253"/>
      <c r="CY91"/>
      <c r="CZ91"/>
    </row>
    <row r="92" spans="1:111">
      <c r="A92" s="552"/>
      <c r="B92" s="552"/>
      <c r="C92" s="552"/>
      <c r="D92" s="552"/>
      <c r="E92" s="547"/>
      <c r="F92" s="547"/>
      <c r="G92" s="547"/>
      <c r="H92" s="552"/>
      <c r="I92" s="477"/>
      <c r="J92" s="477"/>
      <c r="K92" s="477"/>
      <c r="L92" s="477"/>
      <c r="Y92"/>
      <c r="Z92"/>
      <c r="BW92" s="253"/>
      <c r="BX92" s="253"/>
      <c r="CY92"/>
      <c r="CZ92"/>
    </row>
    <row r="93" spans="1:111">
      <c r="A93" s="552"/>
      <c r="B93" s="552"/>
      <c r="C93" s="552"/>
      <c r="D93" s="552"/>
      <c r="E93" s="547"/>
      <c r="F93" s="547"/>
      <c r="G93" s="547"/>
      <c r="H93" s="552"/>
      <c r="I93" s="477"/>
      <c r="J93" s="477"/>
      <c r="K93" s="477"/>
      <c r="L93" s="477"/>
      <c r="Y93"/>
      <c r="Z93"/>
      <c r="AF93" s="235"/>
      <c r="BW93" s="253"/>
      <c r="BX93" s="253"/>
      <c r="CY93"/>
      <c r="CZ93"/>
    </row>
    <row r="94" spans="1:111">
      <c r="A94" s="552"/>
      <c r="B94" s="552"/>
      <c r="C94" s="552"/>
      <c r="D94" s="552"/>
      <c r="E94" s="547"/>
      <c r="F94" s="547"/>
      <c r="G94" s="547"/>
      <c r="H94" s="552"/>
      <c r="I94" s="477"/>
      <c r="J94" s="477"/>
      <c r="K94" s="477"/>
      <c r="L94" s="477"/>
      <c r="Y94"/>
      <c r="Z94"/>
      <c r="AD94" s="4"/>
      <c r="AE94" s="235"/>
      <c r="AF94" s="235"/>
      <c r="AG94" s="235"/>
      <c r="AH94" s="235"/>
      <c r="CY94"/>
      <c r="CZ94"/>
      <c r="DF94" s="253"/>
      <c r="DG94" s="253"/>
    </row>
    <row r="95" spans="1:111">
      <c r="A95" s="552"/>
      <c r="B95" s="552"/>
      <c r="C95" s="552"/>
      <c r="D95" s="552"/>
      <c r="E95" s="547"/>
      <c r="F95" s="547"/>
      <c r="G95" s="547"/>
      <c r="H95" s="552"/>
      <c r="I95" s="477"/>
      <c r="J95" s="477"/>
      <c r="K95" s="477"/>
      <c r="L95" s="477"/>
      <c r="Y95"/>
      <c r="Z95"/>
      <c r="AD95" s="4"/>
      <c r="AE95" s="235"/>
      <c r="AG95" s="235"/>
      <c r="AH95" s="235"/>
      <c r="CY95"/>
      <c r="CZ95"/>
      <c r="DF95" s="253"/>
      <c r="DG95" s="253"/>
    </row>
    <row r="96" spans="1:111">
      <c r="A96" s="552"/>
      <c r="B96" s="552"/>
      <c r="C96" s="552"/>
      <c r="D96" s="552"/>
      <c r="E96" s="547"/>
      <c r="F96" s="547"/>
      <c r="G96" s="547"/>
      <c r="H96" s="552"/>
    </row>
    <row r="97" spans="1:8">
      <c r="A97" s="552"/>
      <c r="B97" s="552"/>
      <c r="C97" s="552"/>
      <c r="D97" s="552"/>
      <c r="E97" s="547"/>
      <c r="F97" s="547"/>
      <c r="G97" s="547"/>
      <c r="H97" s="552"/>
    </row>
    <row r="98" spans="1:8">
      <c r="A98" s="552"/>
      <c r="B98" s="552"/>
      <c r="C98" s="552"/>
      <c r="D98" s="552"/>
      <c r="E98" s="552"/>
      <c r="F98" s="552"/>
      <c r="G98" s="552"/>
      <c r="H98" s="552"/>
    </row>
  </sheetData>
  <sheetProtection sheet="1" objects="1" scenarios="1"/>
  <mergeCells count="142">
    <mergeCell ref="A61:B61"/>
    <mergeCell ref="A55:G55"/>
    <mergeCell ref="I55:K55"/>
    <mergeCell ref="I58:K58"/>
    <mergeCell ref="A59:B59"/>
    <mergeCell ref="C59:D59"/>
    <mergeCell ref="E59:G59"/>
    <mergeCell ref="I59:K59"/>
    <mergeCell ref="A60:B60"/>
    <mergeCell ref="C60:D60"/>
    <mergeCell ref="E60:G60"/>
    <mergeCell ref="I60:K60"/>
    <mergeCell ref="C61:D61"/>
    <mergeCell ref="E61:G61"/>
    <mergeCell ref="I61:K61"/>
    <mergeCell ref="I53:K53"/>
    <mergeCell ref="M53:U53"/>
    <mergeCell ref="V53:X53"/>
    <mergeCell ref="I54:K54"/>
    <mergeCell ref="B2:E2"/>
    <mergeCell ref="E4:G4"/>
    <mergeCell ref="K4:L4"/>
    <mergeCell ref="A5:R5"/>
    <mergeCell ref="P6:P7"/>
    <mergeCell ref="Q6:Q7"/>
    <mergeCell ref="R6:R7"/>
    <mergeCell ref="A4:D4"/>
    <mergeCell ref="S5:X5"/>
    <mergeCell ref="A3:X3"/>
    <mergeCell ref="E12:G12"/>
    <mergeCell ref="E13:G13"/>
    <mergeCell ref="E14:G14"/>
    <mergeCell ref="E15:G15"/>
    <mergeCell ref="E16:G16"/>
    <mergeCell ref="E23:G23"/>
    <mergeCell ref="E24:G24"/>
    <mergeCell ref="E11:G11"/>
    <mergeCell ref="K8:R8"/>
    <mergeCell ref="M52:U52"/>
    <mergeCell ref="V52:X52"/>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AG6:AK6"/>
    <mergeCell ref="E6:G8"/>
    <mergeCell ref="K6:L6"/>
    <mergeCell ref="N6:N7"/>
    <mergeCell ref="O6:O7"/>
    <mergeCell ref="E25:G25"/>
    <mergeCell ref="I8:J8"/>
    <mergeCell ref="AA6:AE6"/>
    <mergeCell ref="E29:G29"/>
    <mergeCell ref="E30:G30"/>
    <mergeCell ref="E31:G31"/>
    <mergeCell ref="E33:G33"/>
    <mergeCell ref="E34:G34"/>
    <mergeCell ref="E35:G35"/>
    <mergeCell ref="E26:G26"/>
    <mergeCell ref="S6:X6"/>
    <mergeCell ref="S8:U8"/>
    <mergeCell ref="V8:X8"/>
    <mergeCell ref="I6:I7"/>
    <mergeCell ref="J6:J7"/>
    <mergeCell ref="E17:G17"/>
    <mergeCell ref="E18:G18"/>
    <mergeCell ref="E19:G19"/>
    <mergeCell ref="E20:G20"/>
    <mergeCell ref="E21:G21"/>
    <mergeCell ref="E22:G22"/>
    <mergeCell ref="M45:U45"/>
    <mergeCell ref="E27:G27"/>
    <mergeCell ref="E28:G28"/>
    <mergeCell ref="V45:X45"/>
    <mergeCell ref="A49:H49"/>
    <mergeCell ref="I49:K49"/>
    <mergeCell ref="A42:G42"/>
    <mergeCell ref="I42:K42"/>
    <mergeCell ref="A43:G43"/>
    <mergeCell ref="I43:K43"/>
    <mergeCell ref="M42:X42"/>
    <mergeCell ref="M43:U43"/>
    <mergeCell ref="V43:X43"/>
    <mergeCell ref="M44:U44"/>
    <mergeCell ref="V44:X44"/>
    <mergeCell ref="E38:G38"/>
    <mergeCell ref="M50:U50"/>
    <mergeCell ref="V50:X50"/>
    <mergeCell ref="M51:U51"/>
    <mergeCell ref="V51:X51"/>
    <mergeCell ref="A50:H50"/>
    <mergeCell ref="I50:K50"/>
    <mergeCell ref="A46:G46"/>
    <mergeCell ref="I46:K46"/>
    <mergeCell ref="A47:G47"/>
    <mergeCell ref="I47:K47"/>
    <mergeCell ref="M46:U46"/>
    <mergeCell ref="A48:H48"/>
    <mergeCell ref="I48:K48"/>
    <mergeCell ref="V46:X46"/>
    <mergeCell ref="M47:X47"/>
    <mergeCell ref="M48:U48"/>
    <mergeCell ref="V48:X48"/>
    <mergeCell ref="M49:U49"/>
    <mergeCell ref="V49:X49"/>
    <mergeCell ref="A62:G62"/>
    <mergeCell ref="I62:K62"/>
    <mergeCell ref="A67:C67"/>
    <mergeCell ref="E32:G32"/>
    <mergeCell ref="A65:C65"/>
    <mergeCell ref="A66:C66"/>
    <mergeCell ref="I51:K51"/>
    <mergeCell ref="A56:K56"/>
    <mergeCell ref="A57:B57"/>
    <mergeCell ref="C57:D57"/>
    <mergeCell ref="E57:G57"/>
    <mergeCell ref="H57:K57"/>
    <mergeCell ref="A58:B58"/>
    <mergeCell ref="C58:D58"/>
    <mergeCell ref="E58:G58"/>
    <mergeCell ref="A44:G44"/>
    <mergeCell ref="I44:K44"/>
    <mergeCell ref="A45:G45"/>
    <mergeCell ref="I45:K45"/>
    <mergeCell ref="E36:G36"/>
    <mergeCell ref="E37:G37"/>
    <mergeCell ref="E39:G39"/>
    <mergeCell ref="A40:I40"/>
    <mergeCell ref="A53:G54"/>
  </mergeCells>
  <conditionalFormatting sqref="A9:H9 D10:H31 A10:C39 D32:E32 H32 D33:H39">
    <cfRule type="expression" dxfId="441" priority="77">
      <formula>OR($C9="SH-dag")</formula>
    </cfRule>
    <cfRule type="expression" dxfId="440" priority="76">
      <formula>OR($C9="nul-dag")</formula>
    </cfRule>
    <cfRule type="expression" dxfId="439" priority="71">
      <formula>OR($C9="skema 2")</formula>
    </cfRule>
    <cfRule type="expression" dxfId="438" priority="72">
      <formula>OR($C9="Skema 3")</formula>
    </cfRule>
    <cfRule type="expression" dxfId="437" priority="73">
      <formula>OR($C9="Skema 4")</formula>
    </cfRule>
    <cfRule type="expression" dxfId="436" priority="74">
      <formula>OR($C9="Ikke relevant")</formula>
    </cfRule>
    <cfRule type="expression" dxfId="435" priority="84" stopIfTrue="1">
      <formula>OR($C9="Orlov")</formula>
    </cfRule>
    <cfRule type="expression" dxfId="434" priority="83">
      <formula>OR($C9="weekend")</formula>
    </cfRule>
    <cfRule type="expression" dxfId="433" priority="82">
      <formula>OR($C9="feriedag")</formula>
    </cfRule>
    <cfRule type="expression" dxfId="432" priority="81">
      <formula>OR($C9="fagdag")</formula>
    </cfRule>
    <cfRule type="expression" dxfId="431" priority="80">
      <formula>OR($C9="emnedag")</formula>
    </cfRule>
    <cfRule type="expression" dxfId="430" priority="79">
      <formula>OR($C9="lejrskole")</formula>
    </cfRule>
    <cfRule type="expression" dxfId="429" priority="78">
      <formula>OR($C9="ekskursion")</formula>
    </cfRule>
    <cfRule type="expression" dxfId="428" priority="75">
      <formula>OR($C9="pæd.dag")</formula>
    </cfRule>
  </conditionalFormatting>
  <conditionalFormatting sqref="D10:H31 D33:H39 A9:H9 A10:C39 D32:E32 H32">
    <cfRule type="expression" dxfId="427" priority="70">
      <formula>OR($C9="Skema 1")</formula>
    </cfRule>
  </conditionalFormatting>
  <conditionalFormatting sqref="E20">
    <cfRule type="expression" dxfId="426" priority="86">
      <formula>OR($D19="nul-dag")</formula>
    </cfRule>
    <cfRule type="expression" dxfId="425" priority="92">
      <formula>OR($D19="feriedag")</formula>
    </cfRule>
    <cfRule type="expression" dxfId="424" priority="93">
      <formula>OR($D19="weekend")</formula>
    </cfRule>
    <cfRule type="expression" dxfId="423" priority="94" stopIfTrue="1">
      <formula>OR($D19="skoledag")</formula>
    </cfRule>
    <cfRule type="expression" dxfId="422" priority="95">
      <formula>OR($D19="Ikke relevant")</formula>
    </cfRule>
    <cfRule type="expression" dxfId="421" priority="85">
      <formula>OR($D19="pæd.dag")</formula>
    </cfRule>
    <cfRule type="expression" dxfId="420" priority="87">
      <formula>OR($D19="SH-dag")</formula>
    </cfRule>
    <cfRule type="expression" dxfId="419" priority="88">
      <formula>OR($D19="ekskursion")</formula>
    </cfRule>
    <cfRule type="expression" dxfId="418" priority="89">
      <formula>OR($D19="lejrskole")</formula>
    </cfRule>
    <cfRule type="expression" dxfId="417" priority="90">
      <formula>OR($D19="emnedag")</formula>
    </cfRule>
    <cfRule type="expression" dxfId="416" priority="91">
      <formula>OR($D19="fagdag")</formula>
    </cfRule>
  </conditionalFormatting>
  <conditionalFormatting sqref="E27">
    <cfRule type="expression" dxfId="415" priority="31" stopIfTrue="1">
      <formula>OR($D26="skoledag")</formula>
    </cfRule>
    <cfRule type="expression" dxfId="414" priority="32">
      <formula>OR($D26="Ikke relevant")</formula>
    </cfRule>
    <cfRule type="expression" dxfId="413" priority="30">
      <formula>OR($D26="weekend")</formula>
    </cfRule>
    <cfRule type="expression" dxfId="412" priority="29">
      <formula>OR($D26="feriedag")</formula>
    </cfRule>
    <cfRule type="expression" dxfId="411" priority="28">
      <formula>OR($D26="fagdag")</formula>
    </cfRule>
    <cfRule type="expression" dxfId="410" priority="27">
      <formula>OR($D26="emnedag")</formula>
    </cfRule>
    <cfRule type="expression" dxfId="409" priority="26">
      <formula>OR($D26="lejrskole")</formula>
    </cfRule>
    <cfRule type="expression" dxfId="408" priority="25">
      <formula>OR($D26="ekskursion")</formula>
    </cfRule>
    <cfRule type="expression" dxfId="407" priority="24">
      <formula>OR($D26="SH-dag")</formula>
    </cfRule>
    <cfRule type="expression" dxfId="406" priority="23">
      <formula>OR($D26="nul-dag")</formula>
    </cfRule>
    <cfRule type="expression" dxfId="405" priority="22">
      <formula>OR($D26="pæd.dag")</formula>
    </cfRule>
  </conditionalFormatting>
  <conditionalFormatting sqref="E34">
    <cfRule type="expression" dxfId="404" priority="21">
      <formula>OR($D33="Ikke relevant")</formula>
    </cfRule>
    <cfRule type="expression" dxfId="403" priority="20" stopIfTrue="1">
      <formula>OR($D33="skoledag")</formula>
    </cfRule>
    <cfRule type="expression" dxfId="402" priority="19">
      <formula>OR($D33="weekend")</formula>
    </cfRule>
    <cfRule type="expression" dxfId="401" priority="18">
      <formula>OR($D33="feriedag")</formula>
    </cfRule>
    <cfRule type="expression" dxfId="400" priority="17">
      <formula>OR($D33="fagdag")</formula>
    </cfRule>
    <cfRule type="expression" dxfId="399" priority="16">
      <formula>OR($D33="emnedag")</formula>
    </cfRule>
    <cfRule type="expression" dxfId="398" priority="15">
      <formula>OR($D33="lejrskole")</formula>
    </cfRule>
    <cfRule type="expression" dxfId="397" priority="14">
      <formula>OR($D33="ekskursion")</formula>
    </cfRule>
    <cfRule type="expression" dxfId="396" priority="13">
      <formula>OR($D33="SH-dag")</formula>
    </cfRule>
    <cfRule type="expression" dxfId="395" priority="12">
      <formula>OR($D33="nul-dag")</formula>
    </cfRule>
    <cfRule type="expression" dxfId="394" priority="11">
      <formula>OR($D33="pæd.dag")</formula>
    </cfRule>
  </conditionalFormatting>
  <conditionalFormatting sqref="H58:H61">
    <cfRule type="expression" dxfId="393" priority="1">
      <formula>OR($A58&gt;0,)</formula>
    </cfRule>
  </conditionalFormatting>
  <conditionalFormatting sqref="I58:I61">
    <cfRule type="expression" dxfId="392" priority="2">
      <formula>OR($C58&gt;0,)</formula>
    </cfRule>
  </conditionalFormatting>
  <conditionalFormatting sqref="K9:K39">
    <cfRule type="expression" dxfId="391" priority="67">
      <formula>OR($C9="Pæd.dag",)</formula>
    </cfRule>
  </conditionalFormatting>
  <conditionalFormatting sqref="K9:L39">
    <cfRule type="expression" dxfId="390" priority="68">
      <formula>OR($C9="Lejrskole",)</formula>
    </cfRule>
    <cfRule type="expression" dxfId="389" priority="69">
      <formula>OR($C9="Ekskursion",)</formula>
    </cfRule>
  </conditionalFormatting>
  <conditionalFormatting sqref="K9:M39">
    <cfRule type="expression" dxfId="388" priority="66">
      <formula>OR($C9="emnedag",)</formula>
    </cfRule>
    <cfRule type="expression" dxfId="387" priority="65">
      <formula>OR($C9="fagdag",)</formula>
    </cfRule>
  </conditionalFormatting>
  <conditionalFormatting sqref="R9:R39">
    <cfRule type="expression" dxfId="386" priority="96">
      <formula>OR($H9&gt;"0",)</formula>
    </cfRule>
  </conditionalFormatting>
  <conditionalFormatting sqref="V9:V39">
    <cfRule type="expression" dxfId="385" priority="10">
      <formula>OR($S9="X",)</formula>
    </cfRule>
  </conditionalFormatting>
  <conditionalFormatting sqref="V49:X52">
    <cfRule type="expression" dxfId="384" priority="3">
      <formula>OR($M49&gt;0,)</formula>
    </cfRule>
  </conditionalFormatting>
  <conditionalFormatting sqref="W9:W39">
    <cfRule type="expression" dxfId="383" priority="9">
      <formula>OR($T9="X",)</formula>
    </cfRule>
  </conditionalFormatting>
  <conditionalFormatting sqref="X9:X39">
    <cfRule type="expression" dxfId="382" priority="8">
      <formula>OR($U9="X",)</formula>
    </cfRule>
  </conditionalFormatting>
  <dataValidations count="3">
    <dataValidation type="list" allowBlank="1" showInputMessage="1" showErrorMessage="1" sqref="S9:T39 U9:U37 A58:D61" xr:uid="{279D01AC-9297-1849-AEDD-544AB54087D2}">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35:I36 I28:I29 I14:I15 I21:I22" xr:uid="{BF62690F-D7E4-994D-B26B-7D9CA6925AAF}">
      <formula1>$W$1:$W$2</formula1>
    </dataValidation>
    <dataValidation type="list" allowBlank="1" showInputMessage="1" showErrorMessage="1" promptTitle="OBS:" prompt="Ved arrangementer med overnatning ydes istedet for ulempe- og weekendgodtgørelse på hhv. 25% og 50% faste tillæg pr. påbegyndt dag. " sqref="J9:J39" xr:uid="{4C52EC2B-5E1C-6C41-831F-B92E6925EDF6}">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6B559395-80F7-614F-A76F-E1929355EB28}">
          <x14:formula1>
            <xm:f>August!$A$89:$A$103</xm:f>
          </x14:formula1>
          <xm:sqref>C9:C39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N84"/>
  <sheetViews>
    <sheetView zoomScaleNormal="100" workbookViewId="0">
      <selection activeCell="J31" sqref="J31"/>
    </sheetView>
  </sheetViews>
  <sheetFormatPr baseColWidth="10" defaultColWidth="11" defaultRowHeight="16"/>
  <cols>
    <col min="1" max="1" width="8.5" customWidth="1"/>
    <col min="2" max="2" width="10.5" customWidth="1"/>
    <col min="3" max="3" width="15" customWidth="1"/>
    <col min="4" max="6" width="12.5" customWidth="1"/>
    <col min="7" max="9" width="12.6640625" customWidth="1"/>
    <col min="10" max="10" width="14.1640625" customWidth="1"/>
    <col min="11" max="11" width="12.5" customWidth="1"/>
    <col min="12" max="12" width="12.1640625" customWidth="1"/>
    <col min="13" max="17" width="12.6640625" customWidth="1"/>
    <col min="18" max="18" width="22.83203125" customWidth="1"/>
    <col min="19" max="19" width="30.5" customWidth="1"/>
    <col min="21" max="21" width="12" customWidth="1"/>
    <col min="22" max="22" width="13.5" customWidth="1"/>
    <col min="29" max="29" width="12" customWidth="1"/>
    <col min="30" max="30" width="13.5" customWidth="1"/>
    <col min="37" max="37" width="12" customWidth="1"/>
    <col min="38" max="38" width="13.5" customWidth="1"/>
    <col min="45" max="45" width="12" customWidth="1"/>
    <col min="46" max="46" width="13.5" customWidth="1"/>
  </cols>
  <sheetData>
    <row r="1" spans="1:12" ht="37" customHeight="1">
      <c r="C1" s="689" t="s">
        <v>471</v>
      </c>
      <c r="D1" s="689"/>
      <c r="E1" s="689"/>
      <c r="F1" s="689"/>
      <c r="G1" s="689"/>
      <c r="H1" s="689"/>
      <c r="I1" s="689"/>
      <c r="J1" s="689"/>
      <c r="K1" s="379"/>
      <c r="L1" s="379"/>
    </row>
    <row r="2" spans="1:12" ht="56" customHeight="1">
      <c r="A2" s="13"/>
      <c r="B2" s="4"/>
      <c r="C2" s="1102" t="s">
        <v>364</v>
      </c>
      <c r="D2" s="1102"/>
      <c r="E2" s="1102"/>
      <c r="F2" s="1102"/>
      <c r="G2" s="1102"/>
      <c r="H2" s="1102"/>
      <c r="I2" s="1102"/>
      <c r="J2" s="1102"/>
      <c r="K2" s="378"/>
      <c r="L2" s="378"/>
    </row>
    <row r="3" spans="1:12" ht="43" customHeight="1">
      <c r="A3" s="13"/>
      <c r="B3" s="4"/>
      <c r="C3" s="1102" t="s">
        <v>472</v>
      </c>
      <c r="D3" s="1102"/>
      <c r="E3" s="1102"/>
      <c r="F3" s="1102"/>
      <c r="G3" s="1102"/>
      <c r="H3" s="1102"/>
      <c r="I3" s="1102"/>
      <c r="J3" s="1102"/>
      <c r="K3" s="378"/>
      <c r="L3" s="378"/>
    </row>
    <row r="4" spans="1:12" ht="22" customHeight="1">
      <c r="A4" s="13"/>
      <c r="B4" s="4"/>
      <c r="C4" s="1101" t="s">
        <v>381</v>
      </c>
      <c r="D4" s="1101"/>
      <c r="E4" s="1101"/>
      <c r="F4" s="1101"/>
      <c r="G4" s="1101"/>
      <c r="H4" s="1101"/>
      <c r="I4" s="1101"/>
      <c r="J4" s="1101"/>
      <c r="K4" s="378"/>
      <c r="L4" s="378"/>
    </row>
    <row r="5" spans="1:12" ht="42" customHeight="1">
      <c r="A5" s="13"/>
      <c r="B5" s="4"/>
      <c r="C5" s="1102" t="s">
        <v>502</v>
      </c>
      <c r="D5" s="1102"/>
      <c r="E5" s="1102"/>
      <c r="F5" s="1102"/>
      <c r="G5" s="1102"/>
      <c r="H5" s="1102"/>
      <c r="I5" s="1102"/>
      <c r="J5" s="1102"/>
      <c r="K5" s="378"/>
      <c r="L5" s="378"/>
    </row>
    <row r="6" spans="1:12" ht="96" customHeight="1">
      <c r="A6" s="13"/>
      <c r="B6" s="4"/>
      <c r="C6" s="1102" t="s">
        <v>382</v>
      </c>
      <c r="D6" s="1102"/>
      <c r="E6" s="1102"/>
      <c r="F6" s="1102"/>
      <c r="G6" s="1102"/>
      <c r="H6" s="1102"/>
      <c r="I6" s="1102"/>
      <c r="J6" s="1102"/>
      <c r="K6" s="378"/>
      <c r="L6" s="378"/>
    </row>
    <row r="7" spans="1:12" s="6" customFormat="1" ht="24" customHeight="1" thickBot="1">
      <c r="A7" s="1104" t="s">
        <v>473</v>
      </c>
      <c r="B7" s="1104"/>
      <c r="C7" s="1103" t="s">
        <v>474</v>
      </c>
      <c r="D7" s="1103"/>
      <c r="E7" s="1103"/>
      <c r="F7" s="1103"/>
      <c r="G7" s="1103"/>
      <c r="H7" s="1103"/>
      <c r="I7" s="1103"/>
      <c r="J7" s="1103"/>
      <c r="K7" s="509"/>
      <c r="L7" s="509"/>
    </row>
    <row r="8" spans="1:12" ht="28" customHeight="1">
      <c r="A8" s="1084">
        <v>1</v>
      </c>
      <c r="B8" s="1089" t="s">
        <v>25</v>
      </c>
      <c r="C8" s="1090"/>
      <c r="D8" s="1090"/>
      <c r="E8" s="1090"/>
      <c r="F8" s="1090"/>
      <c r="G8" s="1090"/>
      <c r="H8" s="1090"/>
      <c r="I8" s="1090"/>
      <c r="J8" s="1091"/>
    </row>
    <row r="9" spans="1:12" ht="20" customHeight="1">
      <c r="A9" s="1085"/>
      <c r="B9" s="1092" t="str">
        <f>"Der er for perioden: "&amp;Stamoplysninger!E11&amp;" - "&amp;Stamoplysninger!G11&amp;" planlagt følgende arbejdstid:"</f>
        <v>Der er for perioden:  -  planlagt følgende arbejdstid:</v>
      </c>
      <c r="C9" s="1093"/>
      <c r="D9" s="1093"/>
      <c r="E9" s="1093"/>
      <c r="F9" s="1093"/>
      <c r="G9" s="1093"/>
      <c r="H9" s="1093"/>
      <c r="I9" s="1093"/>
      <c r="J9" s="1094"/>
      <c r="K9" s="673">
        <v>262</v>
      </c>
    </row>
    <row r="10" spans="1:12" ht="26" customHeight="1">
      <c r="A10" s="1085"/>
      <c r="B10" s="1051" t="str">
        <f>IF(Stamoplysninger!E8&gt;0,Stamoplysninger!E8,"")</f>
        <v/>
      </c>
      <c r="C10" s="1052"/>
      <c r="D10" s="1052"/>
      <c r="E10" s="1052"/>
      <c r="F10" s="1052"/>
      <c r="G10" s="1052"/>
      <c r="H10" s="1052"/>
      <c r="I10" s="1052"/>
      <c r="J10" s="1053"/>
    </row>
    <row r="11" spans="1:12" ht="32" customHeight="1">
      <c r="A11" s="1085"/>
      <c r="B11" s="1114"/>
      <c r="C11" s="1115"/>
      <c r="D11" s="1115"/>
      <c r="E11" s="1115"/>
      <c r="F11" s="767"/>
      <c r="G11" s="1087" t="s">
        <v>10</v>
      </c>
      <c r="H11" s="1087"/>
      <c r="I11" s="1108" t="s">
        <v>30</v>
      </c>
      <c r="J11" s="1109"/>
    </row>
    <row r="12" spans="1:12" ht="32" customHeight="1">
      <c r="A12" s="1085"/>
      <c r="B12" s="1073" t="s">
        <v>218</v>
      </c>
      <c r="C12" s="1074"/>
      <c r="D12" s="1074"/>
      <c r="E12" s="1074"/>
      <c r="F12" s="1075"/>
      <c r="G12" s="1088">
        <f>August!D78+September!D77+Oktober!D78+November!D77+December!D78+Januar!D78+Februar!D76+Marts!D78+April!D77+Maj!D78+Juni!D77+Juli!D78</f>
        <v>262</v>
      </c>
      <c r="H12" s="1088"/>
      <c r="I12" s="1110">
        <f>IF(Stamoplysninger!E12="Ja",1924/K9*G12*Stamoplysninger!E15,Arbejdstidsoversigt!G12*7.4*Stamoplysninger!E15)</f>
        <v>0</v>
      </c>
      <c r="J12" s="1111"/>
    </row>
    <row r="13" spans="1:12" ht="32" customHeight="1">
      <c r="A13" s="1085"/>
      <c r="B13" s="1073" t="s">
        <v>219</v>
      </c>
      <c r="C13" s="1074"/>
      <c r="D13" s="1074"/>
      <c r="E13" s="1074"/>
      <c r="F13" s="1075"/>
      <c r="G13" s="1088">
        <f>August!D72+September!D71+Oktober!D72+November!D71+December!D72+Januar!D72+Februar!D70+Marts!D72+April!D71+Maj!D72+Juni!D71+Juli!D72</f>
        <v>8</v>
      </c>
      <c r="H13" s="1088"/>
      <c r="I13" s="1110">
        <f>G13*7.4*Stamoplysninger!E15</f>
        <v>0</v>
      </c>
      <c r="J13" s="1111"/>
    </row>
    <row r="14" spans="1:12" ht="32" customHeight="1">
      <c r="A14" s="1085"/>
      <c r="B14" s="1073" t="s">
        <v>220</v>
      </c>
      <c r="C14" s="1074"/>
      <c r="D14" s="1074"/>
      <c r="E14" s="1074"/>
      <c r="F14" s="1075"/>
      <c r="G14" s="1088">
        <f>August!D73+September!D72+Oktober!D73+November!D72+December!D73+Januar!D73+Februar!D71+Marts!D73+April!D72+Maj!D73+Juni!D72+Juli!D73</f>
        <v>25</v>
      </c>
      <c r="H14" s="1088"/>
      <c r="I14" s="1110">
        <f>G14*Stamoplysninger!E15*7.4</f>
        <v>0</v>
      </c>
      <c r="J14" s="1111"/>
    </row>
    <row r="15" spans="1:12" ht="32" customHeight="1" thickBot="1">
      <c r="A15" s="1086"/>
      <c r="B15" s="1076" t="s">
        <v>25</v>
      </c>
      <c r="C15" s="1077"/>
      <c r="D15" s="1077"/>
      <c r="E15" s="1077"/>
      <c r="F15" s="1078"/>
      <c r="G15" s="1107">
        <f>G12-G13-G14</f>
        <v>229</v>
      </c>
      <c r="H15" s="1107"/>
      <c r="I15" s="1112">
        <f>I12-I13-I14</f>
        <v>0</v>
      </c>
      <c r="J15" s="1113"/>
    </row>
    <row r="16" spans="1:12" ht="16" customHeight="1" thickBot="1">
      <c r="A16" s="26"/>
      <c r="B16" s="4"/>
      <c r="C16" s="34"/>
      <c r="D16" s="34"/>
      <c r="E16" s="34"/>
      <c r="F16" s="34"/>
      <c r="G16" s="34"/>
      <c r="H16" s="34"/>
    </row>
    <row r="17" spans="1:11" ht="25" customHeight="1">
      <c r="A17" s="1049">
        <v>2</v>
      </c>
      <c r="B17" s="1079" t="s">
        <v>356</v>
      </c>
      <c r="C17" s="1080"/>
      <c r="D17" s="1080"/>
      <c r="E17" s="1080"/>
      <c r="F17" s="1080"/>
      <c r="G17" s="1080"/>
      <c r="H17" s="1080"/>
      <c r="I17" s="1080"/>
      <c r="J17" s="1081"/>
    </row>
    <row r="18" spans="1:11" ht="15" customHeight="1">
      <c r="A18" s="1050"/>
      <c r="B18" s="1133" t="s">
        <v>357</v>
      </c>
      <c r="C18" s="1134"/>
      <c r="D18" s="1134"/>
      <c r="E18" s="1134"/>
      <c r="F18" s="1134"/>
      <c r="G18" s="1134"/>
      <c r="H18" s="1134"/>
      <c r="I18" s="1134"/>
      <c r="J18" s="1135"/>
    </row>
    <row r="19" spans="1:11" ht="17" customHeight="1">
      <c r="A19" s="1050"/>
      <c r="B19" s="529"/>
      <c r="C19" s="380"/>
      <c r="D19" s="380"/>
      <c r="E19" s="380"/>
      <c r="F19" s="380"/>
      <c r="G19" s="380"/>
      <c r="H19" s="380"/>
      <c r="I19" s="381"/>
      <c r="J19" s="382" t="s">
        <v>30</v>
      </c>
    </row>
    <row r="20" spans="1:11" ht="17" customHeight="1">
      <c r="A20" s="1050"/>
      <c r="B20" s="1136" t="s">
        <v>56</v>
      </c>
      <c r="C20" s="1074"/>
      <c r="D20" s="1074"/>
      <c r="E20" s="1074"/>
      <c r="F20" s="1074"/>
      <c r="G20" s="1074"/>
      <c r="H20" s="1074"/>
      <c r="I20" s="1075"/>
      <c r="J20" s="383">
        <f>I15</f>
        <v>0</v>
      </c>
    </row>
    <row r="21" spans="1:11" ht="17" customHeight="1">
      <c r="A21" s="1050"/>
      <c r="B21" s="1137" t="s">
        <v>91</v>
      </c>
      <c r="C21" s="1138"/>
      <c r="D21" s="1138"/>
      <c r="E21" s="1138"/>
      <c r="F21" s="1138"/>
      <c r="G21" s="1138"/>
      <c r="H21" s="1138"/>
      <c r="I21" s="1139"/>
      <c r="J21" s="383">
        <f>August!AC41+September!AC39+Oktober!AC40+November!AC39+December!AC40+Januar!AC40+Februar!AC38+Marts!AC40+April!AC39+Maj!AC40+Juni!AC39+Juli!AC40</f>
        <v>0</v>
      </c>
    </row>
    <row r="22" spans="1:11" ht="17" customHeight="1">
      <c r="A22" s="1050"/>
      <c r="B22" s="1137" t="s">
        <v>124</v>
      </c>
      <c r="C22" s="1138"/>
      <c r="D22" s="1138"/>
      <c r="E22" s="1138"/>
      <c r="F22" s="1138"/>
      <c r="G22" s="1138"/>
      <c r="H22" s="1138"/>
      <c r="I22" s="1139"/>
      <c r="J22" s="383">
        <f>August!AD41+August!AE41+September!AD39+September!AE39+Oktober!AD40+Oktober!AE40+November!AD39+November!AE39+December!AD40+December!AE40+Januar!AD40+Januar!AE40+Februar!AD38+Februar!AE38+Marts!AD40+Marts!AE40+April!AD39+April!AE39+Maj!AD40+Maj!AE40+Juni!AD39+Juni!AE39+Juli!AD40+Juli!AE40</f>
        <v>0</v>
      </c>
    </row>
    <row r="23" spans="1:11" ht="17" customHeight="1">
      <c r="A23" s="1050"/>
      <c r="B23" s="1137" t="s">
        <v>170</v>
      </c>
      <c r="C23" s="1138"/>
      <c r="D23" s="1138"/>
      <c r="E23" s="1138"/>
      <c r="F23" s="1138"/>
      <c r="G23" s="1138"/>
      <c r="H23" s="1138"/>
      <c r="I23" s="1139"/>
      <c r="J23" s="383">
        <f>August!R41+September!R39+Oktober!R40+November!R39+December!R40+Januar!R40+Februar!R38+Marts!R40+April!R39+Maj!R40+Juni!R39+Juli!R40-August!J64-September!J66-Oktober!J67-November!J66-December!J67-Januar!J67-Februar!J65-Marts!J67-April!J66-Maj!J67-Juni!J66-Juli!J67</f>
        <v>0</v>
      </c>
    </row>
    <row r="24" spans="1:11" ht="16" customHeight="1">
      <c r="A24" s="1050"/>
      <c r="B24" s="530" t="s">
        <v>445</v>
      </c>
      <c r="C24" s="484"/>
      <c r="D24" s="484"/>
      <c r="E24" s="484"/>
      <c r="F24" s="484"/>
      <c r="G24" s="484"/>
      <c r="H24" s="484"/>
      <c r="I24" s="485"/>
      <c r="J24" s="486">
        <f>August!AF41+September!AF39+Oktober!AF40+November!AF39+December!AF40+Januar!AF40+Februar!AF38+Marts!AF40+April!AF39+Maj!AF40+Juni!AF39+Juli!AF40</f>
        <v>0</v>
      </c>
    </row>
    <row r="25" spans="1:11" ht="17" customHeight="1">
      <c r="A25" s="1050"/>
      <c r="B25" s="1137" t="s">
        <v>281</v>
      </c>
      <c r="C25" s="1138"/>
      <c r="D25" s="1138"/>
      <c r="E25" s="1138"/>
      <c r="F25" s="1138"/>
      <c r="G25" s="1138"/>
      <c r="H25" s="1138"/>
      <c r="I25" s="1139"/>
      <c r="J25" s="228">
        <f>Skemaoplysninger!I91</f>
        <v>0</v>
      </c>
    </row>
    <row r="26" spans="1:11" ht="17" customHeight="1" thickBot="1">
      <c r="A26" s="1050"/>
      <c r="B26" s="1143" t="s">
        <v>493</v>
      </c>
      <c r="C26" s="1144"/>
      <c r="D26" s="1144"/>
      <c r="E26" s="1144"/>
      <c r="F26" s="1144"/>
      <c r="G26" s="1144"/>
      <c r="H26" s="1144"/>
      <c r="I26" s="1145"/>
      <c r="J26" s="528">
        <f>August!I49+September!I47+Oktober!I48+November!I47+December!I48+Januar!I48+Februar!I46+Marts!I48+April!I47+Maj!I48+Juni!I47+Juli!I48</f>
        <v>0</v>
      </c>
    </row>
    <row r="27" spans="1:11" ht="17" customHeight="1">
      <c r="A27" s="1050"/>
      <c r="B27" s="1140" t="s">
        <v>358</v>
      </c>
      <c r="C27" s="1141"/>
      <c r="D27" s="1141"/>
      <c r="E27" s="1141"/>
      <c r="F27" s="1141"/>
      <c r="G27" s="1141"/>
      <c r="H27" s="1141"/>
      <c r="I27" s="1142"/>
      <c r="J27" s="227">
        <f>J20-J21-J22-J23-J24-J25-J26</f>
        <v>0</v>
      </c>
    </row>
    <row r="28" spans="1:11" ht="17" customHeight="1">
      <c r="A28" s="1050"/>
      <c r="B28" s="1137" t="s">
        <v>249</v>
      </c>
      <c r="C28" s="1138"/>
      <c r="D28" s="1138"/>
      <c r="E28" s="1138"/>
      <c r="F28" s="1138"/>
      <c r="G28" s="1138"/>
      <c r="H28" s="1138"/>
      <c r="I28" s="1139"/>
      <c r="J28" s="359">
        <f>Skemaoplysninger!AN37</f>
        <v>0</v>
      </c>
    </row>
    <row r="29" spans="1:11" ht="17" customHeight="1">
      <c r="A29" s="1050"/>
      <c r="B29" s="1137" t="s">
        <v>359</v>
      </c>
      <c r="C29" s="1138"/>
      <c r="D29" s="1138"/>
      <c r="E29" s="1138"/>
      <c r="F29" s="1138"/>
      <c r="G29" s="1138"/>
      <c r="H29" s="1138"/>
      <c r="I29" s="1139"/>
      <c r="J29" s="228">
        <f>August!BE41+August!BF41+September!BE39+September!BF39+Oktober!BE40+Oktober!BF40+November!BE39+November!BF39+December!BE40+December!BF40+Januar!BE40+Januar!BF40+Februar!BE38+Februar!BF38+Marts!BE40+Marts!BF40+April!BE39+April!BF39+Maj!BE40+Maj!BF40+Juni!BE39+Juni!BF39+Juli!BE40+Juli!BF40</f>
        <v>0</v>
      </c>
      <c r="K29" s="116"/>
    </row>
    <row r="30" spans="1:11" ht="17" customHeight="1">
      <c r="A30" s="1050"/>
      <c r="B30" s="1137" t="s">
        <v>360</v>
      </c>
      <c r="C30" s="1138"/>
      <c r="D30" s="1138"/>
      <c r="E30" s="1138"/>
      <c r="F30" s="1138"/>
      <c r="G30" s="1138"/>
      <c r="H30" s="1138"/>
      <c r="I30" s="1139"/>
      <c r="J30" s="237">
        <f>IF(Stamoplysninger!H29="Ja",Stamoplysninger!H30/200*I38,Skemaoplysninger!AN40+Skemaoplysninger!AN41)</f>
        <v>0</v>
      </c>
    </row>
    <row r="31" spans="1:11" ht="34" customHeight="1" thickBot="1">
      <c r="A31" s="1050"/>
      <c r="B31" s="1057" t="s">
        <v>494</v>
      </c>
      <c r="C31" s="1058"/>
      <c r="D31" s="1058"/>
      <c r="E31" s="1058"/>
      <c r="F31" s="1058"/>
      <c r="G31" s="1058"/>
      <c r="H31" s="1058"/>
      <c r="I31" s="1059"/>
      <c r="J31" s="531">
        <f>J27-J28-J29-J30</f>
        <v>0</v>
      </c>
    </row>
    <row r="32" spans="1:11" ht="34" customHeight="1" thickBot="1">
      <c r="A32" s="24"/>
      <c r="B32" s="229"/>
      <c r="C32" s="229"/>
      <c r="D32" s="229"/>
      <c r="E32" s="229"/>
      <c r="F32" s="229"/>
      <c r="G32" s="229"/>
      <c r="H32" s="229"/>
      <c r="I32" s="229"/>
      <c r="J32" s="370"/>
      <c r="K32" s="370"/>
    </row>
    <row r="33" spans="1:14" ht="26" customHeight="1">
      <c r="A33" s="1046" t="s">
        <v>441</v>
      </c>
      <c r="B33" s="1065" t="s">
        <v>361</v>
      </c>
      <c r="C33" s="1066"/>
      <c r="D33" s="1066"/>
      <c r="E33" s="1066"/>
      <c r="F33" s="1066"/>
      <c r="G33" s="1066"/>
      <c r="H33" s="1066"/>
      <c r="I33" s="1066"/>
      <c r="J33" s="1067"/>
    </row>
    <row r="34" spans="1:14" ht="19" customHeight="1" thickBot="1">
      <c r="A34" s="1047"/>
      <c r="B34" s="1062" t="s">
        <v>365</v>
      </c>
      <c r="C34" s="1063"/>
      <c r="D34" s="1063"/>
      <c r="E34" s="1063"/>
      <c r="F34" s="1063"/>
      <c r="G34" s="1063"/>
      <c r="H34" s="1063"/>
      <c r="I34" s="1063"/>
      <c r="J34" s="1064"/>
    </row>
    <row r="35" spans="1:14" ht="23" customHeight="1">
      <c r="A35" s="1047"/>
      <c r="B35" s="1068" t="s">
        <v>351</v>
      </c>
      <c r="C35" s="1069"/>
      <c r="D35" s="1069"/>
      <c r="E35" s="1069"/>
      <c r="F35" s="1069"/>
      <c r="G35" s="1069"/>
      <c r="H35" s="1069"/>
      <c r="I35" s="1131">
        <f>August!D69+September!D68+Oktober!D69+November!D68+December!D69+Januar!D69+Februar!D67+Marts!D69+April!D68+Maj!D69+Juni!D68+Juli!D69</f>
        <v>0</v>
      </c>
      <c r="J35" s="1132" t="e">
        <f>H35=August!C69+#REF!+#REF!+#REF!+#REF!+#REF!+#REF!+#REF!+#REF!+#REF!+#REF!+#REF!</f>
        <v>#REF!</v>
      </c>
    </row>
    <row r="36" spans="1:14" ht="29" customHeight="1">
      <c r="A36" s="1047"/>
      <c r="B36" s="1055" t="s">
        <v>247</v>
      </c>
      <c r="C36" s="1060"/>
      <c r="D36" s="1060"/>
      <c r="E36" s="1060"/>
      <c r="F36" s="1060"/>
      <c r="G36" s="1060"/>
      <c r="H36" s="1060"/>
      <c r="I36" s="1070">
        <f>Skemaoplysninger!AN32</f>
        <v>200</v>
      </c>
      <c r="J36" s="1071"/>
    </row>
    <row r="37" spans="1:14" ht="29" customHeight="1">
      <c r="A37" s="1047"/>
      <c r="B37" s="1055" t="s">
        <v>248</v>
      </c>
      <c r="C37" s="1060"/>
      <c r="D37" s="1060"/>
      <c r="E37" s="1060"/>
      <c r="F37" s="1060"/>
      <c r="G37" s="1060"/>
      <c r="H37" s="1060"/>
      <c r="I37" s="1070">
        <f>August!D68+September!D67+Oktober!D68+November!D67+December!D68+Januar!D68+Februar!D66+Marts!D68+April!D67+Maj!D68+Juni!D67+Juli!D68</f>
        <v>0</v>
      </c>
      <c r="J37" s="1071"/>
    </row>
    <row r="38" spans="1:14" ht="21" customHeight="1">
      <c r="A38" s="1047"/>
      <c r="B38" s="1119" t="s">
        <v>74</v>
      </c>
      <c r="C38" s="1120"/>
      <c r="D38" s="1120"/>
      <c r="E38" s="1120"/>
      <c r="F38" s="1120"/>
      <c r="G38" s="1120"/>
      <c r="H38" s="1120"/>
      <c r="I38" s="1117">
        <f>I35+I36+I37</f>
        <v>200</v>
      </c>
      <c r="J38" s="1118"/>
      <c r="K38" s="1116" t="str">
        <f>IF(I38&lt;&gt;200,"OBS der er normalt 200 skoledage i et skoleår"," ")</f>
        <v xml:space="preserve"> </v>
      </c>
      <c r="L38" s="1116"/>
      <c r="M38" s="1116"/>
      <c r="N38" s="1116"/>
    </row>
    <row r="39" spans="1:14" ht="21" customHeight="1">
      <c r="A39" s="1047"/>
      <c r="B39" s="1119" t="s">
        <v>323</v>
      </c>
      <c r="C39" s="1120"/>
      <c r="D39" s="1120"/>
      <c r="E39" s="1120"/>
      <c r="F39" s="1120"/>
      <c r="G39" s="1120"/>
      <c r="H39" s="1120"/>
      <c r="I39" s="1127">
        <f>August!AA41+August!AB41+September!AA39+September!AB39+Oktober!AA40+Oktober!AB40+November!AA39+November!AB39+December!AA40+December!AB40+Januar!AA40+Januar!AB40+Februar!AA38+Februar!AB38+Marts!AA40+Marts!AB40+April!AA39+April!AB39+Maj!AA40+Maj!AB40+Juni!AA39+Juni!AB39+Juli!AA40+Juli!AB40</f>
        <v>0</v>
      </c>
      <c r="J39" s="1128"/>
      <c r="K39" s="213"/>
      <c r="L39" s="213"/>
      <c r="M39" s="213"/>
      <c r="N39" s="213"/>
    </row>
    <row r="40" spans="1:14" ht="33" customHeight="1" thickBot="1">
      <c r="A40" s="1047"/>
      <c r="B40" s="1129" t="s">
        <v>256</v>
      </c>
      <c r="C40" s="1130"/>
      <c r="D40" s="1130"/>
      <c r="E40" s="1130"/>
      <c r="F40" s="1130"/>
      <c r="G40" s="1130"/>
      <c r="H40" s="1130"/>
      <c r="I40" s="1121">
        <f>(J27-I39)/I36</f>
        <v>0</v>
      </c>
      <c r="J40" s="1122"/>
    </row>
    <row r="41" spans="1:14" ht="33" hidden="1" customHeight="1" thickBot="1">
      <c r="A41" s="1047"/>
      <c r="B41" s="1129" t="s">
        <v>384</v>
      </c>
      <c r="C41" s="1130"/>
      <c r="D41" s="1130"/>
      <c r="E41" s="1130"/>
      <c r="F41" s="1130"/>
      <c r="G41" s="1130"/>
      <c r="H41" s="1130"/>
      <c r="I41" s="1125">
        <f>J31/I38</f>
        <v>0</v>
      </c>
      <c r="J41" s="1126"/>
    </row>
    <row r="42" spans="1:14" ht="17" customHeight="1">
      <c r="A42" s="1047"/>
      <c r="B42" s="1044" t="s">
        <v>625</v>
      </c>
      <c r="C42" s="1045"/>
      <c r="D42" s="1123" t="s">
        <v>71</v>
      </c>
      <c r="E42" s="1124"/>
      <c r="F42" s="85">
        <f>Skemaoplysninger!F7</f>
        <v>0</v>
      </c>
      <c r="G42" s="85">
        <f>Skemaoplysninger!H7</f>
        <v>0</v>
      </c>
      <c r="H42" s="86"/>
      <c r="I42" s="1105" t="s">
        <v>73</v>
      </c>
      <c r="J42" s="1106"/>
    </row>
    <row r="43" spans="1:14" ht="94" customHeight="1">
      <c r="A43" s="1047"/>
      <c r="B43" s="360" t="s">
        <v>75</v>
      </c>
      <c r="C43" s="361"/>
      <c r="D43" s="45" t="s">
        <v>9</v>
      </c>
      <c r="E43" s="230" t="s">
        <v>153</v>
      </c>
      <c r="F43" s="230" t="s">
        <v>70</v>
      </c>
      <c r="G43" s="240" t="s">
        <v>498</v>
      </c>
      <c r="H43" s="231" t="s">
        <v>412</v>
      </c>
      <c r="I43" s="47" t="s">
        <v>517</v>
      </c>
      <c r="J43" s="63" t="s">
        <v>72</v>
      </c>
    </row>
    <row r="44" spans="1:14" ht="17" customHeight="1">
      <c r="A44" s="1047"/>
      <c r="B44" s="360" t="s">
        <v>58</v>
      </c>
      <c r="C44" s="361"/>
      <c r="D44" s="36">
        <f>Skemaoplysninger!E$32</f>
        <v>39</v>
      </c>
      <c r="E44" s="41"/>
      <c r="F44" s="37">
        <f>Skemaoplysninger!E30*24</f>
        <v>0</v>
      </c>
      <c r="G44" s="241">
        <f>IF(Stamoplysninger!$H$29="NEJ",Skemaoplysninger!$E$39,IF(Skemaoplysninger!E30&gt;0,Stamoplysninger!$H$30/200,0))</f>
        <v>0</v>
      </c>
      <c r="H44" s="46">
        <f>E44-F44-G44</f>
        <v>0</v>
      </c>
      <c r="I44" s="374"/>
      <c r="J44" s="48">
        <f>I44+(E44/24)</f>
        <v>0</v>
      </c>
    </row>
    <row r="45" spans="1:14" ht="17" customHeight="1">
      <c r="A45" s="1047"/>
      <c r="B45" s="360" t="s">
        <v>59</v>
      </c>
      <c r="C45" s="361"/>
      <c r="D45" s="36">
        <f>Skemaoplysninger!F$32</f>
        <v>41</v>
      </c>
      <c r="E45" s="41"/>
      <c r="F45" s="37">
        <f>Skemaoplysninger!F30*24</f>
        <v>0</v>
      </c>
      <c r="G45" s="241">
        <f>IF(Stamoplysninger!$H$29="NEJ",Skemaoplysninger!$F$39,IF(Skemaoplysninger!F30&gt;0,Stamoplysninger!$H$30/200,0))</f>
        <v>0</v>
      </c>
      <c r="H45" s="46">
        <f t="shared" ref="H45:H48" si="0">E45-F45-G45</f>
        <v>0</v>
      </c>
      <c r="I45" s="374"/>
      <c r="J45" s="48">
        <f>I45+(E45/24)</f>
        <v>0</v>
      </c>
    </row>
    <row r="46" spans="1:14" ht="17" customHeight="1">
      <c r="A46" s="1047"/>
      <c r="B46" s="360" t="s">
        <v>60</v>
      </c>
      <c r="C46" s="361"/>
      <c r="D46" s="36">
        <f>Skemaoplysninger!G$32</f>
        <v>40</v>
      </c>
      <c r="E46" s="41"/>
      <c r="F46" s="37">
        <f>Skemaoplysninger!G30*24</f>
        <v>0</v>
      </c>
      <c r="G46" s="241">
        <f>IF(Stamoplysninger!$H$29="NEJ",Skemaoplysninger!$G$39,IF(Skemaoplysninger!G30&gt;0,Stamoplysninger!$H$30/200,0))</f>
        <v>0</v>
      </c>
      <c r="H46" s="46">
        <f t="shared" si="0"/>
        <v>0</v>
      </c>
      <c r="I46" s="374"/>
      <c r="J46" s="48">
        <f>I46+(E46/24)</f>
        <v>0</v>
      </c>
    </row>
    <row r="47" spans="1:14" ht="17" customHeight="1">
      <c r="A47" s="1047"/>
      <c r="B47" s="360" t="s">
        <v>61</v>
      </c>
      <c r="C47" s="361"/>
      <c r="D47" s="36">
        <f>Skemaoplysninger!H$32</f>
        <v>40</v>
      </c>
      <c r="E47" s="41"/>
      <c r="F47" s="37">
        <f>Skemaoplysninger!H30*24</f>
        <v>0</v>
      </c>
      <c r="G47" s="241">
        <f>IF(Stamoplysninger!$H$29="NEJ",Skemaoplysninger!$H$39,IF(Skemaoplysninger!H30&gt;0,Stamoplysninger!$H$30/200,0))</f>
        <v>0</v>
      </c>
      <c r="H47" s="46">
        <f t="shared" si="0"/>
        <v>0</v>
      </c>
      <c r="I47" s="374"/>
      <c r="J47" s="48">
        <f>I47+(E47/24)</f>
        <v>0</v>
      </c>
    </row>
    <row r="48" spans="1:14" ht="17" customHeight="1" thickBot="1">
      <c r="A48" s="1047"/>
      <c r="B48" s="368" t="s">
        <v>62</v>
      </c>
      <c r="C48" s="369"/>
      <c r="D48" s="36">
        <f>Skemaoplysninger!I$32</f>
        <v>40</v>
      </c>
      <c r="E48" s="41"/>
      <c r="F48" s="37">
        <f>Skemaoplysninger!I30*24</f>
        <v>0</v>
      </c>
      <c r="G48" s="241">
        <f>IF(Stamoplysninger!$H$29="NEJ",Skemaoplysninger!$I$39,IF(Skemaoplysninger!I30&gt;0,Stamoplysninger!$H$30/200,0))</f>
        <v>0</v>
      </c>
      <c r="H48" s="46">
        <f t="shared" si="0"/>
        <v>0</v>
      </c>
      <c r="I48" s="374"/>
      <c r="J48" s="375">
        <f>I48+(E48/24)</f>
        <v>0</v>
      </c>
    </row>
    <row r="49" spans="1:10" ht="17" customHeight="1" thickBot="1">
      <c r="A49" s="1047"/>
      <c r="B49" s="362" t="s">
        <v>107</v>
      </c>
      <c r="C49" s="363"/>
      <c r="D49" s="364"/>
      <c r="E49" s="89">
        <f>SUM(E44:E48)</f>
        <v>0</v>
      </c>
      <c r="F49" s="89">
        <f t="shared" ref="F49:H49" si="1">SUM(F44:F48)</f>
        <v>0</v>
      </c>
      <c r="G49" s="242">
        <f>SUM(G44:G48)</f>
        <v>0</v>
      </c>
      <c r="H49" s="92">
        <f t="shared" si="1"/>
        <v>0</v>
      </c>
      <c r="I49" s="91"/>
      <c r="J49" s="90"/>
    </row>
    <row r="50" spans="1:10" ht="17" customHeight="1" thickBot="1">
      <c r="A50" s="1047"/>
      <c r="B50" s="365"/>
      <c r="C50" s="371"/>
      <c r="D50" s="371"/>
      <c r="E50" s="371"/>
      <c r="F50" s="371"/>
      <c r="G50" s="371"/>
      <c r="H50" s="371"/>
      <c r="I50" s="371"/>
      <c r="J50" s="372"/>
    </row>
    <row r="51" spans="1:10" ht="17" customHeight="1">
      <c r="A51" s="1047"/>
      <c r="B51" s="1044" t="s">
        <v>626</v>
      </c>
      <c r="C51" s="1045"/>
      <c r="D51" s="1061" t="s">
        <v>71</v>
      </c>
      <c r="E51" s="1061"/>
      <c r="F51" s="87">
        <f>Skemaoplysninger!P7</f>
        <v>0</v>
      </c>
      <c r="G51" s="88">
        <f>Skemaoplysninger!R7</f>
        <v>0</v>
      </c>
      <c r="H51" s="88"/>
      <c r="I51" s="1105" t="s">
        <v>73</v>
      </c>
      <c r="J51" s="1106"/>
    </row>
    <row r="52" spans="1:10" ht="91" customHeight="1">
      <c r="A52" s="1047"/>
      <c r="B52" s="360" t="s">
        <v>75</v>
      </c>
      <c r="C52" s="361"/>
      <c r="D52" s="45" t="s">
        <v>9</v>
      </c>
      <c r="E52" s="230" t="s">
        <v>153</v>
      </c>
      <c r="F52" s="230" t="s">
        <v>70</v>
      </c>
      <c r="G52" s="240" t="s">
        <v>498</v>
      </c>
      <c r="H52" s="231" t="s">
        <v>412</v>
      </c>
      <c r="I52" s="47" t="str">
        <f>I43</f>
        <v>Angiv her mødetids-punkt                  (07:45 =  07:45)</v>
      </c>
      <c r="J52" s="63" t="s">
        <v>72</v>
      </c>
    </row>
    <row r="53" spans="1:10" ht="17" customHeight="1">
      <c r="A53" s="1047"/>
      <c r="B53" s="360" t="s">
        <v>58</v>
      </c>
      <c r="C53" s="361"/>
      <c r="D53" s="36">
        <f>Skemaoplysninger!O$32</f>
        <v>0</v>
      </c>
      <c r="E53" s="41"/>
      <c r="F53" s="37">
        <f>Skemaoplysninger!O$30*24</f>
        <v>0</v>
      </c>
      <c r="G53" s="241">
        <f>IF(Stamoplysninger!$H$29="NEJ",Skemaoplysninger!$O$39,IF(Skemaoplysninger!O30&gt;0,Stamoplysninger!$H$30/200,0))</f>
        <v>0</v>
      </c>
      <c r="H53" s="46">
        <f>E53-F53-G53</f>
        <v>0</v>
      </c>
      <c r="I53" s="374"/>
      <c r="J53" s="48">
        <f>I53+(E53/24)</f>
        <v>0</v>
      </c>
    </row>
    <row r="54" spans="1:10" ht="17" customHeight="1">
      <c r="A54" s="1047"/>
      <c r="B54" s="360" t="s">
        <v>59</v>
      </c>
      <c r="C54" s="361"/>
      <c r="D54" s="36">
        <f>Skemaoplysninger!P$32</f>
        <v>0</v>
      </c>
      <c r="E54" s="41"/>
      <c r="F54" s="37">
        <f>Skemaoplysninger!P$30*24</f>
        <v>0</v>
      </c>
      <c r="G54" s="241">
        <f>IF(Stamoplysninger!$H$29="NEJ",Skemaoplysninger!$P$39,IF(Skemaoplysninger!P30&gt;0,Stamoplysninger!$H$30/200,0))</f>
        <v>0</v>
      </c>
      <c r="H54" s="46">
        <f t="shared" ref="H54:H57" si="2">E54-F54-G54</f>
        <v>0</v>
      </c>
      <c r="I54" s="374"/>
      <c r="J54" s="48">
        <f>I54+(E54/24)</f>
        <v>0</v>
      </c>
    </row>
    <row r="55" spans="1:10" ht="17" customHeight="1">
      <c r="A55" s="1047"/>
      <c r="B55" s="360" t="s">
        <v>60</v>
      </c>
      <c r="C55" s="361"/>
      <c r="D55" s="36">
        <f>Skemaoplysninger!Q$32</f>
        <v>0</v>
      </c>
      <c r="E55" s="41"/>
      <c r="F55" s="37">
        <f>Skemaoplysninger!Q$30*24</f>
        <v>0</v>
      </c>
      <c r="G55" s="241">
        <f>IF(Stamoplysninger!$H$29="NEJ",Skemaoplysninger!$Q$39,IF(Skemaoplysninger!Q30&gt;0,Stamoplysninger!$H$30/200,0))</f>
        <v>0</v>
      </c>
      <c r="H55" s="46">
        <f t="shared" si="2"/>
        <v>0</v>
      </c>
      <c r="I55" s="374"/>
      <c r="J55" s="48">
        <f>I55+(E55/24)</f>
        <v>0</v>
      </c>
    </row>
    <row r="56" spans="1:10" ht="17" customHeight="1">
      <c r="A56" s="1047"/>
      <c r="B56" s="360" t="s">
        <v>61</v>
      </c>
      <c r="C56" s="361"/>
      <c r="D56" s="36">
        <f>Skemaoplysninger!R$32</f>
        <v>0</v>
      </c>
      <c r="E56" s="41"/>
      <c r="F56" s="37">
        <f>Skemaoplysninger!R$30*24</f>
        <v>0</v>
      </c>
      <c r="G56" s="241">
        <f>IF(Stamoplysninger!$H$29="NEJ",Skemaoplysninger!$R$39,IF(Skemaoplysninger!R30&gt;0,Stamoplysninger!$H$30/200,0))</f>
        <v>0</v>
      </c>
      <c r="H56" s="46">
        <f t="shared" si="2"/>
        <v>0</v>
      </c>
      <c r="I56" s="374"/>
      <c r="J56" s="48">
        <f>I56+(E56/24)</f>
        <v>0</v>
      </c>
    </row>
    <row r="57" spans="1:10" ht="17" customHeight="1" thickBot="1">
      <c r="A57" s="1047"/>
      <c r="B57" s="360" t="s">
        <v>62</v>
      </c>
      <c r="C57" s="361"/>
      <c r="D57" s="36">
        <f>Skemaoplysninger!S$32</f>
        <v>0</v>
      </c>
      <c r="E57" s="41"/>
      <c r="F57" s="37">
        <f>Skemaoplysninger!S$30*24</f>
        <v>0</v>
      </c>
      <c r="G57" s="241">
        <f>IF(Stamoplysninger!$H$29="NEJ",Skemaoplysninger!$S$39,IF(Skemaoplysninger!S30&gt;0,Stamoplysninger!$H$30/200,0))</f>
        <v>0</v>
      </c>
      <c r="H57" s="46">
        <f t="shared" si="2"/>
        <v>0</v>
      </c>
      <c r="I57" s="374"/>
      <c r="J57" s="49">
        <f>I57+(E57/24)</f>
        <v>0</v>
      </c>
    </row>
    <row r="58" spans="1:10" ht="17" customHeight="1" thickBot="1">
      <c r="A58" s="1047"/>
      <c r="B58" s="362" t="s">
        <v>107</v>
      </c>
      <c r="C58" s="363"/>
      <c r="D58" s="364"/>
      <c r="E58" s="89">
        <f>SUM(E53:E57)</f>
        <v>0</v>
      </c>
      <c r="F58" s="89">
        <f>SUM(F53:F57)</f>
        <v>0</v>
      </c>
      <c r="G58" s="242">
        <f>SUM(G53:G57)</f>
        <v>0</v>
      </c>
      <c r="H58" s="92">
        <f>SUM(H53:H57)</f>
        <v>0</v>
      </c>
      <c r="I58" s="91"/>
      <c r="J58" s="90"/>
    </row>
    <row r="59" spans="1:10" ht="17" customHeight="1" thickBot="1">
      <c r="A59" s="1047"/>
      <c r="B59" s="365"/>
      <c r="C59" s="371"/>
      <c r="D59" s="371"/>
      <c r="E59" s="371"/>
      <c r="F59" s="371"/>
      <c r="G59" s="371"/>
      <c r="H59" s="371"/>
      <c r="I59" s="371"/>
      <c r="J59" s="372"/>
    </row>
    <row r="60" spans="1:10" ht="17" customHeight="1">
      <c r="A60" s="1047"/>
      <c r="B60" s="1044" t="s">
        <v>627</v>
      </c>
      <c r="C60" s="1045"/>
      <c r="D60" s="1061" t="s">
        <v>71</v>
      </c>
      <c r="E60" s="1061"/>
      <c r="F60" s="87">
        <f>Skemaoplysninger!Z7</f>
        <v>0</v>
      </c>
      <c r="G60" s="88">
        <f>Skemaoplysninger!AB7</f>
        <v>0</v>
      </c>
      <c r="H60" s="88"/>
      <c r="I60" s="1105" t="s">
        <v>73</v>
      </c>
      <c r="J60" s="1106"/>
    </row>
    <row r="61" spans="1:10" ht="91" customHeight="1">
      <c r="A61" s="1047"/>
      <c r="B61" s="360" t="s">
        <v>75</v>
      </c>
      <c r="C61" s="361"/>
      <c r="D61" s="45" t="s">
        <v>9</v>
      </c>
      <c r="E61" s="230" t="s">
        <v>153</v>
      </c>
      <c r="F61" s="230" t="s">
        <v>70</v>
      </c>
      <c r="G61" s="240" t="s">
        <v>498</v>
      </c>
      <c r="H61" s="231" t="s">
        <v>412</v>
      </c>
      <c r="I61" s="47" t="str">
        <f>I52</f>
        <v>Angiv her mødetids-punkt                  (07:45 =  07:45)</v>
      </c>
      <c r="J61" s="63" t="s">
        <v>72</v>
      </c>
    </row>
    <row r="62" spans="1:10" ht="17" customHeight="1">
      <c r="A62" s="1047"/>
      <c r="B62" s="360" t="s">
        <v>58</v>
      </c>
      <c r="C62" s="361"/>
      <c r="D62" s="36">
        <f>Skemaoplysninger!Y$32</f>
        <v>0</v>
      </c>
      <c r="E62" s="41"/>
      <c r="F62" s="37">
        <f>Skemaoplysninger!Y$30*24</f>
        <v>0</v>
      </c>
      <c r="G62" s="241">
        <f>IF(Stamoplysninger!$H$29="NEJ",Skemaoplysninger!$Y$39,IF(Skemaoplysninger!Y30&gt;0,Stamoplysninger!$H$30/200,0))</f>
        <v>0</v>
      </c>
      <c r="H62" s="46">
        <f>E62-F62-G62</f>
        <v>0</v>
      </c>
      <c r="I62" s="374"/>
      <c r="J62" s="48">
        <f>I62+(E62/24)</f>
        <v>0</v>
      </c>
    </row>
    <row r="63" spans="1:10" ht="17" customHeight="1">
      <c r="A63" s="1047"/>
      <c r="B63" s="360" t="s">
        <v>59</v>
      </c>
      <c r="C63" s="361"/>
      <c r="D63" s="36">
        <f>Skemaoplysninger!Z$32</f>
        <v>0</v>
      </c>
      <c r="E63" s="41"/>
      <c r="F63" s="37">
        <f>Skemaoplysninger!Z$30*24</f>
        <v>0</v>
      </c>
      <c r="G63" s="241">
        <f>IF(Stamoplysninger!$H$29="NEJ",Skemaoplysninger!$Z$39,IF(Skemaoplysninger!Z30&gt;0,Stamoplysninger!$H$30/200,0))</f>
        <v>0</v>
      </c>
      <c r="H63" s="46">
        <f t="shared" ref="H63:H66" si="3">E63-F63-G63</f>
        <v>0</v>
      </c>
      <c r="I63" s="374"/>
      <c r="J63" s="48">
        <f>I63+(E63/24)</f>
        <v>0</v>
      </c>
    </row>
    <row r="64" spans="1:10" ht="17" customHeight="1">
      <c r="A64" s="1047"/>
      <c r="B64" s="360" t="s">
        <v>60</v>
      </c>
      <c r="C64" s="361"/>
      <c r="D64" s="36">
        <f>Skemaoplysninger!AA$32</f>
        <v>0</v>
      </c>
      <c r="E64" s="41"/>
      <c r="F64" s="37">
        <f>Skemaoplysninger!AA$30*24</f>
        <v>0</v>
      </c>
      <c r="G64" s="241">
        <f>IF(Stamoplysninger!$H$29="NEJ",Skemaoplysninger!$AA$39,IF(Skemaoplysninger!AA30&gt;0,Stamoplysninger!$H$30/200,0))</f>
        <v>0</v>
      </c>
      <c r="H64" s="46">
        <f t="shared" si="3"/>
        <v>0</v>
      </c>
      <c r="I64" s="374"/>
      <c r="J64" s="48">
        <f>I64+(E64/24)</f>
        <v>0</v>
      </c>
    </row>
    <row r="65" spans="1:10" ht="17" customHeight="1">
      <c r="A65" s="1047"/>
      <c r="B65" s="360" t="s">
        <v>61</v>
      </c>
      <c r="C65" s="361"/>
      <c r="D65" s="36">
        <f>Skemaoplysninger!AB$32</f>
        <v>0</v>
      </c>
      <c r="E65" s="41"/>
      <c r="F65" s="37">
        <f>Skemaoplysninger!AB$30*24</f>
        <v>0</v>
      </c>
      <c r="G65" s="241">
        <f>IF(Stamoplysninger!$H$29="NEJ",Skemaoplysninger!$AB$39,IF(Skemaoplysninger!AB30&gt;0,Stamoplysninger!$H$30/200,0))</f>
        <v>0</v>
      </c>
      <c r="H65" s="46">
        <f t="shared" si="3"/>
        <v>0</v>
      </c>
      <c r="I65" s="374"/>
      <c r="J65" s="48">
        <f>I65+(E65/24)</f>
        <v>0</v>
      </c>
    </row>
    <row r="66" spans="1:10" ht="17" customHeight="1" thickBot="1">
      <c r="A66" s="1047"/>
      <c r="B66" s="360" t="s">
        <v>62</v>
      </c>
      <c r="C66" s="361"/>
      <c r="D66" s="36">
        <f>Skemaoplysninger!AC$32</f>
        <v>0</v>
      </c>
      <c r="E66" s="41"/>
      <c r="F66" s="37">
        <f>Skemaoplysninger!AC$30*24</f>
        <v>0</v>
      </c>
      <c r="G66" s="241">
        <f>IF(Stamoplysninger!$H$29="NEJ",Skemaoplysninger!$AC$39,IF(Skemaoplysninger!AC30&gt;0,Stamoplysninger!$H$30/200,0))</f>
        <v>0</v>
      </c>
      <c r="H66" s="46">
        <f t="shared" si="3"/>
        <v>0</v>
      </c>
      <c r="I66" s="374"/>
      <c r="J66" s="49">
        <f>I66+(E66/24)</f>
        <v>0</v>
      </c>
    </row>
    <row r="67" spans="1:10" ht="17" customHeight="1" thickBot="1">
      <c r="A67" s="1047"/>
      <c r="B67" s="362" t="s">
        <v>107</v>
      </c>
      <c r="C67" s="363"/>
      <c r="D67" s="364"/>
      <c r="E67" s="89">
        <f>SUM(E62:E66)</f>
        <v>0</v>
      </c>
      <c r="F67" s="89">
        <f>SUM(F62:F66)</f>
        <v>0</v>
      </c>
      <c r="G67" s="242">
        <f>SUM(G62:G66)</f>
        <v>0</v>
      </c>
      <c r="H67" s="92">
        <f>SUM(H62:H66)</f>
        <v>0</v>
      </c>
      <c r="I67" s="91"/>
      <c r="J67" s="90"/>
    </row>
    <row r="68" spans="1:10" ht="17" customHeight="1" thickBot="1">
      <c r="A68" s="1047"/>
      <c r="B68" s="365"/>
      <c r="C68" s="371"/>
      <c r="D68" s="371"/>
      <c r="E68" s="371"/>
      <c r="F68" s="371"/>
      <c r="G68" s="371"/>
      <c r="H68" s="371"/>
      <c r="I68" s="371"/>
      <c r="J68" s="372"/>
    </row>
    <row r="69" spans="1:10" ht="17" customHeight="1">
      <c r="A69" s="1047"/>
      <c r="B69" s="1044" t="s">
        <v>628</v>
      </c>
      <c r="C69" s="1045"/>
      <c r="D69" s="1061" t="s">
        <v>71</v>
      </c>
      <c r="E69" s="1061"/>
      <c r="F69" s="87">
        <f>Skemaoplysninger!AJ7</f>
        <v>0</v>
      </c>
      <c r="G69" s="88">
        <f>Skemaoplysninger!AL7</f>
        <v>0</v>
      </c>
      <c r="H69" s="88"/>
      <c r="I69" s="1105" t="s">
        <v>73</v>
      </c>
      <c r="J69" s="1106"/>
    </row>
    <row r="70" spans="1:10" ht="91" customHeight="1">
      <c r="A70" s="1047"/>
      <c r="B70" s="360" t="s">
        <v>75</v>
      </c>
      <c r="C70" s="361"/>
      <c r="D70" s="45" t="s">
        <v>9</v>
      </c>
      <c r="E70" s="230" t="s">
        <v>153</v>
      </c>
      <c r="F70" s="230" t="s">
        <v>70</v>
      </c>
      <c r="G70" s="240" t="s">
        <v>498</v>
      </c>
      <c r="H70" s="231" t="s">
        <v>412</v>
      </c>
      <c r="I70" s="47" t="str">
        <f>I61</f>
        <v>Angiv her mødetids-punkt                  (07:45 =  07:45)</v>
      </c>
      <c r="J70" s="63" t="s">
        <v>72</v>
      </c>
    </row>
    <row r="71" spans="1:10" ht="17" customHeight="1">
      <c r="A71" s="1047"/>
      <c r="B71" s="360" t="s">
        <v>58</v>
      </c>
      <c r="C71" s="361"/>
      <c r="D71" s="36">
        <f>Skemaoplysninger!AI$32</f>
        <v>0</v>
      </c>
      <c r="E71" s="41"/>
      <c r="F71" s="37">
        <f>Skemaoplysninger!AI$30*24</f>
        <v>0</v>
      </c>
      <c r="G71" s="241">
        <f>IF(Stamoplysninger!$H$29="NEJ",Skemaoplysninger!$AI$39,IF(Skemaoplysninger!AI30&gt;0,Stamoplysninger!$H$30/200,0))</f>
        <v>0</v>
      </c>
      <c r="H71" s="46">
        <f>E71-F71-G71</f>
        <v>0</v>
      </c>
      <c r="I71" s="374"/>
      <c r="J71" s="48">
        <f>I71+(E71/24)</f>
        <v>0</v>
      </c>
    </row>
    <row r="72" spans="1:10" ht="17" customHeight="1">
      <c r="A72" s="1047"/>
      <c r="B72" s="360" t="s">
        <v>59</v>
      </c>
      <c r="C72" s="361"/>
      <c r="D72" s="36">
        <f>Skemaoplysninger!AJ$32</f>
        <v>0</v>
      </c>
      <c r="E72" s="41"/>
      <c r="F72" s="37">
        <f>Skemaoplysninger!AJ$30*24</f>
        <v>0</v>
      </c>
      <c r="G72" s="241">
        <f>IF(Stamoplysninger!$H$29="NEJ",Skemaoplysninger!$AJ$39,IF(Skemaoplysninger!AJ30&gt;0,Stamoplysninger!$H$30/200,0))</f>
        <v>0</v>
      </c>
      <c r="H72" s="46">
        <f t="shared" ref="H72:H75" si="4">E72-F72-G72</f>
        <v>0</v>
      </c>
      <c r="I72" s="374"/>
      <c r="J72" s="48">
        <f>I72+(E72/24)</f>
        <v>0</v>
      </c>
    </row>
    <row r="73" spans="1:10" ht="17" customHeight="1">
      <c r="A73" s="1047"/>
      <c r="B73" s="360" t="s">
        <v>60</v>
      </c>
      <c r="C73" s="361"/>
      <c r="D73" s="36">
        <f>Skemaoplysninger!AK$32</f>
        <v>0</v>
      </c>
      <c r="E73" s="41"/>
      <c r="F73" s="37">
        <f>Skemaoplysninger!AK$30*24</f>
        <v>0</v>
      </c>
      <c r="G73" s="241">
        <f>IF(Stamoplysninger!$H$29="NEJ",Skemaoplysninger!$AK$39,IF(Skemaoplysninger!AK30&gt;0,Stamoplysninger!$H$30/200,0))</f>
        <v>0</v>
      </c>
      <c r="H73" s="46">
        <f t="shared" si="4"/>
        <v>0</v>
      </c>
      <c r="I73" s="374"/>
      <c r="J73" s="48">
        <f>I73+(E73/24)</f>
        <v>0</v>
      </c>
    </row>
    <row r="74" spans="1:10" ht="17" customHeight="1">
      <c r="A74" s="1047"/>
      <c r="B74" s="360" t="s">
        <v>61</v>
      </c>
      <c r="C74" s="361"/>
      <c r="D74" s="36">
        <f>Skemaoplysninger!AL$32</f>
        <v>0</v>
      </c>
      <c r="E74" s="41"/>
      <c r="F74" s="37">
        <f>Skemaoplysninger!AL$30*24</f>
        <v>0</v>
      </c>
      <c r="G74" s="241">
        <f>IF(Stamoplysninger!$H$29="NEJ",Skemaoplysninger!$AL$39,IF(Skemaoplysninger!AL30&gt;0,Stamoplysninger!$H$30/200,0))</f>
        <v>0</v>
      </c>
      <c r="H74" s="46">
        <f t="shared" si="4"/>
        <v>0</v>
      </c>
      <c r="I74" s="374"/>
      <c r="J74" s="48">
        <f>I74+(E74/24)</f>
        <v>0</v>
      </c>
    </row>
    <row r="75" spans="1:10" ht="17" customHeight="1" thickBot="1">
      <c r="A75" s="1047"/>
      <c r="B75" s="360" t="s">
        <v>62</v>
      </c>
      <c r="C75" s="361"/>
      <c r="D75" s="36">
        <f>Skemaoplysninger!AM$32</f>
        <v>0</v>
      </c>
      <c r="E75" s="41"/>
      <c r="F75" s="37">
        <f>Skemaoplysninger!AM$30*24</f>
        <v>0</v>
      </c>
      <c r="G75" s="241">
        <f>IF(Stamoplysninger!$H$29="NEJ",Skemaoplysninger!$AM$39,IF(Skemaoplysninger!AM30&gt;0,Stamoplysninger!$H$30/200,0))</f>
        <v>0</v>
      </c>
      <c r="H75" s="46">
        <f t="shared" si="4"/>
        <v>0</v>
      </c>
      <c r="I75" s="374"/>
      <c r="J75" s="49">
        <f>I75+(E75/24)</f>
        <v>0</v>
      </c>
    </row>
    <row r="76" spans="1:10" ht="17" customHeight="1" thickBot="1">
      <c r="A76" s="1047"/>
      <c r="B76" s="362" t="s">
        <v>107</v>
      </c>
      <c r="C76" s="363"/>
      <c r="D76" s="364"/>
      <c r="E76" s="89">
        <f>SUM(E71:E75)</f>
        <v>0</v>
      </c>
      <c r="F76" s="89">
        <f>SUM(F71:F75)</f>
        <v>0</v>
      </c>
      <c r="G76" s="242">
        <f>SUM(G71:G75)</f>
        <v>0</v>
      </c>
      <c r="H76" s="92">
        <f>SUM(H71:H75)</f>
        <v>0</v>
      </c>
      <c r="I76" s="91"/>
      <c r="J76" s="90"/>
    </row>
    <row r="77" spans="1:10" ht="17" customHeight="1">
      <c r="A77" s="1047"/>
      <c r="B77" s="366"/>
      <c r="C77" s="367"/>
      <c r="D77" s="367"/>
      <c r="E77" s="367"/>
      <c r="F77" s="367"/>
      <c r="G77" s="367"/>
      <c r="H77" s="367"/>
      <c r="I77" s="367"/>
      <c r="J77" s="373"/>
    </row>
    <row r="78" spans="1:10" ht="32" customHeight="1">
      <c r="A78" s="1047"/>
      <c r="B78" s="1055" t="s">
        <v>362</v>
      </c>
      <c r="C78" s="1056"/>
      <c r="D78" s="1082">
        <f>(D44*E44)+(D45*E45)+(D46*E46)+(D47*E47)+(D48*E48)+(D53*E53)+(D54*E54)+(D55*E55)+(D56*E56)+(D57*E57)+(D62*E62)+(D63*E63)+(D64*E64)+(D65*E65)+(D66*E66)+(D71*E71)+(D72*E72)+(D73*E73)+(D74*E74)+(D75*E75)</f>
        <v>0</v>
      </c>
      <c r="E78" s="1083"/>
      <c r="F78" s="1083"/>
      <c r="G78" s="1083"/>
      <c r="H78" s="1083"/>
      <c r="I78" s="1083"/>
      <c r="J78" s="1071"/>
    </row>
    <row r="79" spans="1:10" ht="17" customHeight="1">
      <c r="A79" s="1047"/>
      <c r="B79" s="1055" t="s">
        <v>63</v>
      </c>
      <c r="C79" s="1056"/>
      <c r="D79" s="1082">
        <f>D78+I39-J27</f>
        <v>0</v>
      </c>
      <c r="E79" s="1083"/>
      <c r="F79" s="1083"/>
      <c r="G79" s="1083"/>
      <c r="H79" s="1083"/>
      <c r="I79" s="1083"/>
      <c r="J79" s="1071"/>
    </row>
    <row r="80" spans="1:10" ht="31" customHeight="1">
      <c r="A80" s="1047"/>
      <c r="B80" s="1095" t="s">
        <v>475</v>
      </c>
      <c r="C80" s="1096"/>
      <c r="D80" s="1096"/>
      <c r="E80" s="1096"/>
      <c r="F80" s="1096"/>
      <c r="G80" s="1096"/>
      <c r="H80" s="1096"/>
      <c r="I80" s="1096"/>
      <c r="J80" s="1097"/>
    </row>
    <row r="81" spans="1:11" ht="37" customHeight="1" thickBot="1">
      <c r="A81" s="1048"/>
      <c r="B81" s="1098"/>
      <c r="C81" s="1099"/>
      <c r="D81" s="1099"/>
      <c r="E81" s="1099"/>
      <c r="F81" s="1099"/>
      <c r="G81" s="1099"/>
      <c r="H81" s="1099"/>
      <c r="I81" s="1099"/>
      <c r="J81" s="1100"/>
    </row>
    <row r="82" spans="1:11" ht="44" customHeight="1">
      <c r="A82" s="1072"/>
      <c r="B82" s="1072"/>
      <c r="C82" s="1054" t="s">
        <v>385</v>
      </c>
      <c r="D82" s="1054"/>
      <c r="E82" s="1054"/>
      <c r="F82" s="1054"/>
      <c r="G82" s="1054"/>
      <c r="H82" s="1054"/>
      <c r="I82" s="1054"/>
      <c r="J82" s="1054"/>
      <c r="K82" s="3"/>
    </row>
    <row r="83" spans="1:11" ht="63" customHeight="1">
      <c r="A83" s="682"/>
      <c r="B83" s="682"/>
      <c r="C83" s="689" t="s">
        <v>505</v>
      </c>
      <c r="D83" s="689"/>
      <c r="E83" s="689"/>
      <c r="F83" s="689"/>
      <c r="G83" s="689"/>
      <c r="H83" s="689"/>
      <c r="I83" s="689"/>
      <c r="J83" s="689"/>
      <c r="K83" s="3"/>
    </row>
    <row r="84" spans="1:11" ht="10" customHeight="1"/>
  </sheetData>
  <sheetProtection sheet="1" formatCells="0" formatColumns="0" formatRows="0"/>
  <dataConsolidate/>
  <mergeCells count="79">
    <mergeCell ref="I35:J35"/>
    <mergeCell ref="I36:J36"/>
    <mergeCell ref="B60:C60"/>
    <mergeCell ref="B18:J18"/>
    <mergeCell ref="B20:I20"/>
    <mergeCell ref="B21:I21"/>
    <mergeCell ref="B29:I29"/>
    <mergeCell ref="B30:I30"/>
    <mergeCell ref="B22:I22"/>
    <mergeCell ref="B23:I23"/>
    <mergeCell ref="B25:I25"/>
    <mergeCell ref="B27:I27"/>
    <mergeCell ref="B28:I28"/>
    <mergeCell ref="B26:I26"/>
    <mergeCell ref="K38:N38"/>
    <mergeCell ref="I38:J38"/>
    <mergeCell ref="B38:H38"/>
    <mergeCell ref="I40:J40"/>
    <mergeCell ref="D42:E42"/>
    <mergeCell ref="I42:J42"/>
    <mergeCell ref="I41:J41"/>
    <mergeCell ref="I39:J39"/>
    <mergeCell ref="B40:H40"/>
    <mergeCell ref="B41:H41"/>
    <mergeCell ref="B39:H39"/>
    <mergeCell ref="B42:C42"/>
    <mergeCell ref="C1:J1"/>
    <mergeCell ref="C2:J2"/>
    <mergeCell ref="C3:J3"/>
    <mergeCell ref="I60:J60"/>
    <mergeCell ref="D69:E69"/>
    <mergeCell ref="I69:J69"/>
    <mergeCell ref="G14:H14"/>
    <mergeCell ref="G15:H15"/>
    <mergeCell ref="I11:J11"/>
    <mergeCell ref="I14:J14"/>
    <mergeCell ref="I15:J15"/>
    <mergeCell ref="I12:J12"/>
    <mergeCell ref="I13:J13"/>
    <mergeCell ref="G13:H13"/>
    <mergeCell ref="B11:F11"/>
    <mergeCell ref="I51:J51"/>
    <mergeCell ref="C4:J4"/>
    <mergeCell ref="C5:J5"/>
    <mergeCell ref="C6:J6"/>
    <mergeCell ref="C7:J7"/>
    <mergeCell ref="A7:B7"/>
    <mergeCell ref="C83:J83"/>
    <mergeCell ref="A82:B83"/>
    <mergeCell ref="B12:F12"/>
    <mergeCell ref="B13:F13"/>
    <mergeCell ref="B14:F14"/>
    <mergeCell ref="B15:F15"/>
    <mergeCell ref="B17:J17"/>
    <mergeCell ref="D79:J79"/>
    <mergeCell ref="D78:J78"/>
    <mergeCell ref="A8:A15"/>
    <mergeCell ref="G11:H11"/>
    <mergeCell ref="G12:H12"/>
    <mergeCell ref="B8:J8"/>
    <mergeCell ref="B9:J9"/>
    <mergeCell ref="B80:J81"/>
    <mergeCell ref="B78:C78"/>
    <mergeCell ref="B69:C69"/>
    <mergeCell ref="A33:A81"/>
    <mergeCell ref="A17:A31"/>
    <mergeCell ref="B10:J10"/>
    <mergeCell ref="C82:J82"/>
    <mergeCell ref="B79:C79"/>
    <mergeCell ref="B51:C51"/>
    <mergeCell ref="B31:I31"/>
    <mergeCell ref="B36:H36"/>
    <mergeCell ref="B37:H37"/>
    <mergeCell ref="D51:E51"/>
    <mergeCell ref="D60:E60"/>
    <mergeCell ref="B34:J34"/>
    <mergeCell ref="B33:J33"/>
    <mergeCell ref="B35:H35"/>
    <mergeCell ref="I37:J37"/>
  </mergeCells>
  <phoneticPr fontId="5" type="noConversion"/>
  <printOptions horizontalCentered="1"/>
  <pageMargins left="0.25" right="0.25" top="0.75" bottom="0.75" header="0.3" footer="0.3"/>
  <pageSetup paperSize="9" scale="63" orientation="portrait" horizontalDpi="4294967292" verticalDpi="4294967292" r:id="rId1"/>
  <rowBreaks count="2" manualBreakCount="2">
    <brk id="15" max="16383" man="1"/>
    <brk id="36" max="9" man="1"/>
  </rowBreaks>
  <colBreaks count="2" manualBreakCount="2">
    <brk id="1" min="7" max="30" man="1"/>
    <brk id="19" max="1048575"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75217-4E00-4944-8AC4-7E543E892C5D}">
  <sheetPr>
    <tabColor rgb="FFFFFF00"/>
  </sheetPr>
  <dimension ref="A1:O243"/>
  <sheetViews>
    <sheetView workbookViewId="0">
      <selection sqref="A1:O243"/>
    </sheetView>
  </sheetViews>
  <sheetFormatPr baseColWidth="10" defaultRowHeight="16"/>
  <sheetData>
    <row r="1" spans="1:15">
      <c r="A1" s="682"/>
      <c r="B1" s="682"/>
      <c r="C1" s="682"/>
      <c r="D1" s="682"/>
      <c r="E1" s="682"/>
      <c r="F1" s="682"/>
      <c r="G1" s="682"/>
      <c r="H1" s="682"/>
      <c r="I1" s="682"/>
      <c r="J1" s="682"/>
      <c r="K1" s="682"/>
      <c r="L1" s="682"/>
      <c r="M1" s="682"/>
      <c r="N1" s="682"/>
      <c r="O1" s="682"/>
    </row>
    <row r="2" spans="1:15">
      <c r="A2" s="682"/>
      <c r="B2" s="682"/>
      <c r="C2" s="682"/>
      <c r="D2" s="682"/>
      <c r="E2" s="682"/>
      <c r="F2" s="682"/>
      <c r="G2" s="682"/>
      <c r="H2" s="682"/>
      <c r="I2" s="682"/>
      <c r="J2" s="682"/>
      <c r="K2" s="682"/>
      <c r="L2" s="682"/>
      <c r="M2" s="682"/>
      <c r="N2" s="682"/>
      <c r="O2" s="682"/>
    </row>
    <row r="3" spans="1:15">
      <c r="A3" s="682"/>
      <c r="B3" s="682"/>
      <c r="C3" s="682"/>
      <c r="D3" s="682"/>
      <c r="E3" s="682"/>
      <c r="F3" s="682"/>
      <c r="G3" s="682"/>
      <c r="H3" s="682"/>
      <c r="I3" s="682"/>
      <c r="J3" s="682"/>
      <c r="K3" s="682"/>
      <c r="L3" s="682"/>
      <c r="M3" s="682"/>
      <c r="N3" s="682"/>
      <c r="O3" s="682"/>
    </row>
    <row r="4" spans="1:15">
      <c r="A4" s="682"/>
      <c r="B4" s="682"/>
      <c r="C4" s="682"/>
      <c r="D4" s="682"/>
      <c r="E4" s="682"/>
      <c r="F4" s="682"/>
      <c r="G4" s="682"/>
      <c r="H4" s="682"/>
      <c r="I4" s="682"/>
      <c r="J4" s="682"/>
      <c r="K4" s="682"/>
      <c r="L4" s="682"/>
      <c r="M4" s="682"/>
      <c r="N4" s="682"/>
      <c r="O4" s="682"/>
    </row>
    <row r="5" spans="1:15">
      <c r="A5" s="682"/>
      <c r="B5" s="682"/>
      <c r="C5" s="682"/>
      <c r="D5" s="682"/>
      <c r="E5" s="682"/>
      <c r="F5" s="682"/>
      <c r="G5" s="682"/>
      <c r="H5" s="682"/>
      <c r="I5" s="682"/>
      <c r="J5" s="682"/>
      <c r="K5" s="682"/>
      <c r="L5" s="682"/>
      <c r="M5" s="682"/>
      <c r="N5" s="682"/>
      <c r="O5" s="682"/>
    </row>
    <row r="6" spans="1:15">
      <c r="A6" s="682"/>
      <c r="B6" s="682"/>
      <c r="C6" s="682"/>
      <c r="D6" s="682"/>
      <c r="E6" s="682"/>
      <c r="F6" s="682"/>
      <c r="G6" s="682"/>
      <c r="H6" s="682"/>
      <c r="I6" s="682"/>
      <c r="J6" s="682"/>
      <c r="K6" s="682"/>
      <c r="L6" s="682"/>
      <c r="M6" s="682"/>
      <c r="N6" s="682"/>
      <c r="O6" s="682"/>
    </row>
    <row r="7" spans="1:15">
      <c r="A7" s="682"/>
      <c r="B7" s="682"/>
      <c r="C7" s="682"/>
      <c r="D7" s="682"/>
      <c r="E7" s="682"/>
      <c r="F7" s="682"/>
      <c r="G7" s="682"/>
      <c r="H7" s="682"/>
      <c r="I7" s="682"/>
      <c r="J7" s="682"/>
      <c r="K7" s="682"/>
      <c r="L7" s="682"/>
      <c r="M7" s="682"/>
      <c r="N7" s="682"/>
      <c r="O7" s="682"/>
    </row>
    <row r="8" spans="1:15">
      <c r="A8" s="682"/>
      <c r="B8" s="682"/>
      <c r="C8" s="682"/>
      <c r="D8" s="682"/>
      <c r="E8" s="682"/>
      <c r="F8" s="682"/>
      <c r="G8" s="682"/>
      <c r="H8" s="682"/>
      <c r="I8" s="682"/>
      <c r="J8" s="682"/>
      <c r="K8" s="682"/>
      <c r="L8" s="682"/>
      <c r="M8" s="682"/>
      <c r="N8" s="682"/>
      <c r="O8" s="682"/>
    </row>
    <row r="9" spans="1:15" ht="56" customHeight="1">
      <c r="A9" s="682"/>
      <c r="B9" s="682"/>
      <c r="C9" s="682"/>
      <c r="D9" s="682"/>
      <c r="E9" s="682"/>
      <c r="F9" s="682"/>
      <c r="G9" s="682"/>
      <c r="H9" s="682"/>
      <c r="I9" s="682"/>
      <c r="J9" s="682"/>
      <c r="K9" s="682"/>
      <c r="L9" s="682"/>
      <c r="M9" s="682"/>
      <c r="N9" s="682"/>
      <c r="O9" s="682"/>
    </row>
    <row r="10" spans="1:15">
      <c r="A10" s="682"/>
      <c r="B10" s="682"/>
      <c r="C10" s="682"/>
      <c r="D10" s="682"/>
      <c r="E10" s="682"/>
      <c r="F10" s="682"/>
      <c r="G10" s="682"/>
      <c r="H10" s="682"/>
      <c r="I10" s="682"/>
      <c r="J10" s="682"/>
      <c r="K10" s="682"/>
      <c r="L10" s="682"/>
      <c r="M10" s="682"/>
      <c r="N10" s="682"/>
      <c r="O10" s="682"/>
    </row>
    <row r="11" spans="1:15">
      <c r="A11" s="682"/>
      <c r="B11" s="682"/>
      <c r="C11" s="682"/>
      <c r="D11" s="682"/>
      <c r="E11" s="682"/>
      <c r="F11" s="682"/>
      <c r="G11" s="682"/>
      <c r="H11" s="682"/>
      <c r="I11" s="682"/>
      <c r="J11" s="682"/>
      <c r="K11" s="682"/>
      <c r="L11" s="682"/>
      <c r="M11" s="682"/>
      <c r="N11" s="682"/>
      <c r="O11" s="682"/>
    </row>
    <row r="12" spans="1:15">
      <c r="A12" s="682"/>
      <c r="B12" s="682"/>
      <c r="C12" s="682"/>
      <c r="D12" s="682"/>
      <c r="E12" s="682"/>
      <c r="F12" s="682"/>
      <c r="G12" s="682"/>
      <c r="H12" s="682"/>
      <c r="I12" s="682"/>
      <c r="J12" s="682"/>
      <c r="K12" s="682"/>
      <c r="L12" s="682"/>
      <c r="M12" s="682"/>
      <c r="N12" s="682"/>
      <c r="O12" s="682"/>
    </row>
    <row r="13" spans="1:15">
      <c r="A13" s="682"/>
      <c r="B13" s="682"/>
      <c r="C13" s="682"/>
      <c r="D13" s="682"/>
      <c r="E13" s="682"/>
      <c r="F13" s="682"/>
      <c r="G13" s="682"/>
      <c r="H13" s="682"/>
      <c r="I13" s="682"/>
      <c r="J13" s="682"/>
      <c r="K13" s="682"/>
      <c r="L13" s="682"/>
      <c r="M13" s="682"/>
      <c r="N13" s="682"/>
      <c r="O13" s="682"/>
    </row>
    <row r="14" spans="1:15">
      <c r="A14" s="682"/>
      <c r="B14" s="682"/>
      <c r="C14" s="682"/>
      <c r="D14" s="682"/>
      <c r="E14" s="682"/>
      <c r="F14" s="682"/>
      <c r="G14" s="682"/>
      <c r="H14" s="682"/>
      <c r="I14" s="682"/>
      <c r="J14" s="682"/>
      <c r="K14" s="682"/>
      <c r="L14" s="682"/>
      <c r="M14" s="682"/>
      <c r="N14" s="682"/>
      <c r="O14" s="682"/>
    </row>
    <row r="15" spans="1:15">
      <c r="A15" s="682"/>
      <c r="B15" s="682"/>
      <c r="C15" s="682"/>
      <c r="D15" s="682"/>
      <c r="E15" s="682"/>
      <c r="F15" s="682"/>
      <c r="G15" s="682"/>
      <c r="H15" s="682"/>
      <c r="I15" s="682"/>
      <c r="J15" s="682"/>
      <c r="K15" s="682"/>
      <c r="L15" s="682"/>
      <c r="M15" s="682"/>
      <c r="N15" s="682"/>
      <c r="O15" s="682"/>
    </row>
    <row r="16" spans="1:15">
      <c r="A16" s="682"/>
      <c r="B16" s="682"/>
      <c r="C16" s="682"/>
      <c r="D16" s="682"/>
      <c r="E16" s="682"/>
      <c r="F16" s="682"/>
      <c r="G16" s="682"/>
      <c r="H16" s="682"/>
      <c r="I16" s="682"/>
      <c r="J16" s="682"/>
      <c r="K16" s="682"/>
      <c r="L16" s="682"/>
      <c r="M16" s="682"/>
      <c r="N16" s="682"/>
      <c r="O16" s="682"/>
    </row>
    <row r="17" spans="1:15">
      <c r="A17" s="682"/>
      <c r="B17" s="682"/>
      <c r="C17" s="682"/>
      <c r="D17" s="682"/>
      <c r="E17" s="682"/>
      <c r="F17" s="682"/>
      <c r="G17" s="682"/>
      <c r="H17" s="682"/>
      <c r="I17" s="682"/>
      <c r="J17" s="682"/>
      <c r="K17" s="682"/>
      <c r="L17" s="682"/>
      <c r="M17" s="682"/>
      <c r="N17" s="682"/>
      <c r="O17" s="682"/>
    </row>
    <row r="18" spans="1:15">
      <c r="A18" s="682"/>
      <c r="B18" s="682"/>
      <c r="C18" s="682"/>
      <c r="D18" s="682"/>
      <c r="E18" s="682"/>
      <c r="F18" s="682"/>
      <c r="G18" s="682"/>
      <c r="H18" s="682"/>
      <c r="I18" s="682"/>
      <c r="J18" s="682"/>
      <c r="K18" s="682"/>
      <c r="L18" s="682"/>
      <c r="M18" s="682"/>
      <c r="N18" s="682"/>
      <c r="O18" s="682"/>
    </row>
    <row r="19" spans="1:15">
      <c r="A19" s="682"/>
      <c r="B19" s="682"/>
      <c r="C19" s="682"/>
      <c r="D19" s="682"/>
      <c r="E19" s="682"/>
      <c r="F19" s="682"/>
      <c r="G19" s="682"/>
      <c r="H19" s="682"/>
      <c r="I19" s="682"/>
      <c r="J19" s="682"/>
      <c r="K19" s="682"/>
      <c r="L19" s="682"/>
      <c r="M19" s="682"/>
      <c r="N19" s="682"/>
      <c r="O19" s="682"/>
    </row>
    <row r="20" spans="1:15">
      <c r="A20" s="682"/>
      <c r="B20" s="682"/>
      <c r="C20" s="682"/>
      <c r="D20" s="682"/>
      <c r="E20" s="682"/>
      <c r="F20" s="682"/>
      <c r="G20" s="682"/>
      <c r="H20" s="682"/>
      <c r="I20" s="682"/>
      <c r="J20" s="682"/>
      <c r="K20" s="682"/>
      <c r="L20" s="682"/>
      <c r="M20" s="682"/>
      <c r="N20" s="682"/>
      <c r="O20" s="682"/>
    </row>
    <row r="21" spans="1:15">
      <c r="A21" s="682"/>
      <c r="B21" s="682"/>
      <c r="C21" s="682"/>
      <c r="D21" s="682"/>
      <c r="E21" s="682"/>
      <c r="F21" s="682"/>
      <c r="G21" s="682"/>
      <c r="H21" s="682"/>
      <c r="I21" s="682"/>
      <c r="J21" s="682"/>
      <c r="K21" s="682"/>
      <c r="L21" s="682"/>
      <c r="M21" s="682"/>
      <c r="N21" s="682"/>
      <c r="O21" s="682"/>
    </row>
    <row r="22" spans="1:15">
      <c r="A22" s="682"/>
      <c r="B22" s="682"/>
      <c r="C22" s="682"/>
      <c r="D22" s="682"/>
      <c r="E22" s="682"/>
      <c r="F22" s="682"/>
      <c r="G22" s="682"/>
      <c r="H22" s="682"/>
      <c r="I22" s="682"/>
      <c r="J22" s="682"/>
      <c r="K22" s="682"/>
      <c r="L22" s="682"/>
      <c r="M22" s="682"/>
      <c r="N22" s="682"/>
      <c r="O22" s="682"/>
    </row>
    <row r="23" spans="1:15">
      <c r="A23" s="682"/>
      <c r="B23" s="682"/>
      <c r="C23" s="682"/>
      <c r="D23" s="682"/>
      <c r="E23" s="682"/>
      <c r="F23" s="682"/>
      <c r="G23" s="682"/>
      <c r="H23" s="682"/>
      <c r="I23" s="682"/>
      <c r="J23" s="682"/>
      <c r="K23" s="682"/>
      <c r="L23" s="682"/>
      <c r="M23" s="682"/>
      <c r="N23" s="682"/>
      <c r="O23" s="682"/>
    </row>
    <row r="24" spans="1:15">
      <c r="A24" s="682"/>
      <c r="B24" s="682"/>
      <c r="C24" s="682"/>
      <c r="D24" s="682"/>
      <c r="E24" s="682"/>
      <c r="F24" s="682"/>
      <c r="G24" s="682"/>
      <c r="H24" s="682"/>
      <c r="I24" s="682"/>
      <c r="J24" s="682"/>
      <c r="K24" s="682"/>
      <c r="L24" s="682"/>
      <c r="M24" s="682"/>
      <c r="N24" s="682"/>
      <c r="O24" s="682"/>
    </row>
    <row r="25" spans="1:15">
      <c r="A25" s="682"/>
      <c r="B25" s="682"/>
      <c r="C25" s="682"/>
      <c r="D25" s="682"/>
      <c r="E25" s="682"/>
      <c r="F25" s="682"/>
      <c r="G25" s="682"/>
      <c r="H25" s="682"/>
      <c r="I25" s="682"/>
      <c r="J25" s="682"/>
      <c r="K25" s="682"/>
      <c r="L25" s="682"/>
      <c r="M25" s="682"/>
      <c r="N25" s="682"/>
      <c r="O25" s="682"/>
    </row>
    <row r="26" spans="1:15">
      <c r="A26" s="682"/>
      <c r="B26" s="682"/>
      <c r="C26" s="682"/>
      <c r="D26" s="682"/>
      <c r="E26" s="682"/>
      <c r="F26" s="682"/>
      <c r="G26" s="682"/>
      <c r="H26" s="682"/>
      <c r="I26" s="682"/>
      <c r="J26" s="682"/>
      <c r="K26" s="682"/>
      <c r="L26" s="682"/>
      <c r="M26" s="682"/>
      <c r="N26" s="682"/>
      <c r="O26" s="682"/>
    </row>
    <row r="27" spans="1:15">
      <c r="A27" s="682"/>
      <c r="B27" s="682"/>
      <c r="C27" s="682"/>
      <c r="D27" s="682"/>
      <c r="E27" s="682"/>
      <c r="F27" s="682"/>
      <c r="G27" s="682"/>
      <c r="H27" s="682"/>
      <c r="I27" s="682"/>
      <c r="J27" s="682"/>
      <c r="K27" s="682"/>
      <c r="L27" s="682"/>
      <c r="M27" s="682"/>
      <c r="N27" s="682"/>
      <c r="O27" s="682"/>
    </row>
    <row r="28" spans="1:15">
      <c r="A28" s="682"/>
      <c r="B28" s="682"/>
      <c r="C28" s="682"/>
      <c r="D28" s="682"/>
      <c r="E28" s="682"/>
      <c r="F28" s="682"/>
      <c r="G28" s="682"/>
      <c r="H28" s="682"/>
      <c r="I28" s="682"/>
      <c r="J28" s="682"/>
      <c r="K28" s="682"/>
      <c r="L28" s="682"/>
      <c r="M28" s="682"/>
      <c r="N28" s="682"/>
      <c r="O28" s="682"/>
    </row>
    <row r="29" spans="1:15">
      <c r="A29" s="682"/>
      <c r="B29" s="682"/>
      <c r="C29" s="682"/>
      <c r="D29" s="682"/>
      <c r="E29" s="682"/>
      <c r="F29" s="682"/>
      <c r="G29" s="682"/>
      <c r="H29" s="682"/>
      <c r="I29" s="682"/>
      <c r="J29" s="682"/>
      <c r="K29" s="682"/>
      <c r="L29" s="682"/>
      <c r="M29" s="682"/>
      <c r="N29" s="682"/>
      <c r="O29" s="682"/>
    </row>
    <row r="30" spans="1:15">
      <c r="A30" s="682"/>
      <c r="B30" s="682"/>
      <c r="C30" s="682"/>
      <c r="D30" s="682"/>
      <c r="E30" s="682"/>
      <c r="F30" s="682"/>
      <c r="G30" s="682"/>
      <c r="H30" s="682"/>
      <c r="I30" s="682"/>
      <c r="J30" s="682"/>
      <c r="K30" s="682"/>
      <c r="L30" s="682"/>
      <c r="M30" s="682"/>
      <c r="N30" s="682"/>
      <c r="O30" s="682"/>
    </row>
    <row r="31" spans="1:15">
      <c r="A31" s="682"/>
      <c r="B31" s="682"/>
      <c r="C31" s="682"/>
      <c r="D31" s="682"/>
      <c r="E31" s="682"/>
      <c r="F31" s="682"/>
      <c r="G31" s="682"/>
      <c r="H31" s="682"/>
      <c r="I31" s="682"/>
      <c r="J31" s="682"/>
      <c r="K31" s="682"/>
      <c r="L31" s="682"/>
      <c r="M31" s="682"/>
      <c r="N31" s="682"/>
      <c r="O31" s="682"/>
    </row>
    <row r="32" spans="1:15">
      <c r="A32" s="682"/>
      <c r="B32" s="682"/>
      <c r="C32" s="682"/>
      <c r="D32" s="682"/>
      <c r="E32" s="682"/>
      <c r="F32" s="682"/>
      <c r="G32" s="682"/>
      <c r="H32" s="682"/>
      <c r="I32" s="682"/>
      <c r="J32" s="682"/>
      <c r="K32" s="682"/>
      <c r="L32" s="682"/>
      <c r="M32" s="682"/>
      <c r="N32" s="682"/>
      <c r="O32" s="682"/>
    </row>
    <row r="33" spans="1:15">
      <c r="A33" s="682"/>
      <c r="B33" s="682"/>
      <c r="C33" s="682"/>
      <c r="D33" s="682"/>
      <c r="E33" s="682"/>
      <c r="F33" s="682"/>
      <c r="G33" s="682"/>
      <c r="H33" s="682"/>
      <c r="I33" s="682"/>
      <c r="J33" s="682"/>
      <c r="K33" s="682"/>
      <c r="L33" s="682"/>
      <c r="M33" s="682"/>
      <c r="N33" s="682"/>
      <c r="O33" s="682"/>
    </row>
    <row r="34" spans="1:15">
      <c r="A34" s="682"/>
      <c r="B34" s="682"/>
      <c r="C34" s="682"/>
      <c r="D34" s="682"/>
      <c r="E34" s="682"/>
      <c r="F34" s="682"/>
      <c r="G34" s="682"/>
      <c r="H34" s="682"/>
      <c r="I34" s="682"/>
      <c r="J34" s="682"/>
      <c r="K34" s="682"/>
      <c r="L34" s="682"/>
      <c r="M34" s="682"/>
      <c r="N34" s="682"/>
      <c r="O34" s="682"/>
    </row>
    <row r="35" spans="1:15">
      <c r="A35" s="682"/>
      <c r="B35" s="682"/>
      <c r="C35" s="682"/>
      <c r="D35" s="682"/>
      <c r="E35" s="682"/>
      <c r="F35" s="682"/>
      <c r="G35" s="682"/>
      <c r="H35" s="682"/>
      <c r="I35" s="682"/>
      <c r="J35" s="682"/>
      <c r="K35" s="682"/>
      <c r="L35" s="682"/>
      <c r="M35" s="682"/>
      <c r="N35" s="682"/>
      <c r="O35" s="682"/>
    </row>
    <row r="36" spans="1:15">
      <c r="A36" s="682"/>
      <c r="B36" s="682"/>
      <c r="C36" s="682"/>
      <c r="D36" s="682"/>
      <c r="E36" s="682"/>
      <c r="F36" s="682"/>
      <c r="G36" s="682"/>
      <c r="H36" s="682"/>
      <c r="I36" s="682"/>
      <c r="J36" s="682"/>
      <c r="K36" s="682"/>
      <c r="L36" s="682"/>
      <c r="M36" s="682"/>
      <c r="N36" s="682"/>
      <c r="O36" s="682"/>
    </row>
    <row r="37" spans="1:15">
      <c r="A37" s="682"/>
      <c r="B37" s="682"/>
      <c r="C37" s="682"/>
      <c r="D37" s="682"/>
      <c r="E37" s="682"/>
      <c r="F37" s="682"/>
      <c r="G37" s="682"/>
      <c r="H37" s="682"/>
      <c r="I37" s="682"/>
      <c r="J37" s="682"/>
      <c r="K37" s="682"/>
      <c r="L37" s="682"/>
      <c r="M37" s="682"/>
      <c r="N37" s="682"/>
      <c r="O37" s="682"/>
    </row>
    <row r="38" spans="1:15">
      <c r="A38" s="682"/>
      <c r="B38" s="682"/>
      <c r="C38" s="682"/>
      <c r="D38" s="682"/>
      <c r="E38" s="682"/>
      <c r="F38" s="682"/>
      <c r="G38" s="682"/>
      <c r="H38" s="682"/>
      <c r="I38" s="682"/>
      <c r="J38" s="682"/>
      <c r="K38" s="682"/>
      <c r="L38" s="682"/>
      <c r="M38" s="682"/>
      <c r="N38" s="682"/>
      <c r="O38" s="682"/>
    </row>
    <row r="39" spans="1:15">
      <c r="A39" s="682"/>
      <c r="B39" s="682"/>
      <c r="C39" s="682"/>
      <c r="D39" s="682"/>
      <c r="E39" s="682"/>
      <c r="F39" s="682"/>
      <c r="G39" s="682"/>
      <c r="H39" s="682"/>
      <c r="I39" s="682"/>
      <c r="J39" s="682"/>
      <c r="K39" s="682"/>
      <c r="L39" s="682"/>
      <c r="M39" s="682"/>
      <c r="N39" s="682"/>
      <c r="O39" s="682"/>
    </row>
    <row r="40" spans="1:15">
      <c r="A40" s="682"/>
      <c r="B40" s="682"/>
      <c r="C40" s="682"/>
      <c r="D40" s="682"/>
      <c r="E40" s="682"/>
      <c r="F40" s="682"/>
      <c r="G40" s="682"/>
      <c r="H40" s="682"/>
      <c r="I40" s="682"/>
      <c r="J40" s="682"/>
      <c r="K40" s="682"/>
      <c r="L40" s="682"/>
      <c r="M40" s="682"/>
      <c r="N40" s="682"/>
      <c r="O40" s="682"/>
    </row>
    <row r="41" spans="1:15">
      <c r="A41" s="682"/>
      <c r="B41" s="682"/>
      <c r="C41" s="682"/>
      <c r="D41" s="682"/>
      <c r="E41" s="682"/>
      <c r="F41" s="682"/>
      <c r="G41" s="682"/>
      <c r="H41" s="682"/>
      <c r="I41" s="682"/>
      <c r="J41" s="682"/>
      <c r="K41" s="682"/>
      <c r="L41" s="682"/>
      <c r="M41" s="682"/>
      <c r="N41" s="682"/>
      <c r="O41" s="682"/>
    </row>
    <row r="42" spans="1:15">
      <c r="A42" s="682"/>
      <c r="B42" s="682"/>
      <c r="C42" s="682"/>
      <c r="D42" s="682"/>
      <c r="E42" s="682"/>
      <c r="F42" s="682"/>
      <c r="G42" s="682"/>
      <c r="H42" s="682"/>
      <c r="I42" s="682"/>
      <c r="J42" s="682"/>
      <c r="K42" s="682"/>
      <c r="L42" s="682"/>
      <c r="M42" s="682"/>
      <c r="N42" s="682"/>
      <c r="O42" s="682"/>
    </row>
    <row r="43" spans="1:15">
      <c r="A43" s="682"/>
      <c r="B43" s="682"/>
      <c r="C43" s="682"/>
      <c r="D43" s="682"/>
      <c r="E43" s="682"/>
      <c r="F43" s="682"/>
      <c r="G43" s="682"/>
      <c r="H43" s="682"/>
      <c r="I43" s="682"/>
      <c r="J43" s="682"/>
      <c r="K43" s="682"/>
      <c r="L43" s="682"/>
      <c r="M43" s="682"/>
      <c r="N43" s="682"/>
      <c r="O43" s="682"/>
    </row>
    <row r="44" spans="1:15">
      <c r="A44" s="682"/>
      <c r="B44" s="682"/>
      <c r="C44" s="682"/>
      <c r="D44" s="682"/>
      <c r="E44" s="682"/>
      <c r="F44" s="682"/>
      <c r="G44" s="682"/>
      <c r="H44" s="682"/>
      <c r="I44" s="682"/>
      <c r="J44" s="682"/>
      <c r="K44" s="682"/>
      <c r="L44" s="682"/>
      <c r="M44" s="682"/>
      <c r="N44" s="682"/>
      <c r="O44" s="682"/>
    </row>
    <row r="45" spans="1:15">
      <c r="A45" s="682"/>
      <c r="B45" s="682"/>
      <c r="C45" s="682"/>
      <c r="D45" s="682"/>
      <c r="E45" s="682"/>
      <c r="F45" s="682"/>
      <c r="G45" s="682"/>
      <c r="H45" s="682"/>
      <c r="I45" s="682"/>
      <c r="J45" s="682"/>
      <c r="K45" s="682"/>
      <c r="L45" s="682"/>
      <c r="M45" s="682"/>
      <c r="N45" s="682"/>
      <c r="O45" s="682"/>
    </row>
    <row r="46" spans="1:15">
      <c r="A46" s="682"/>
      <c r="B46" s="682"/>
      <c r="C46" s="682"/>
      <c r="D46" s="682"/>
      <c r="E46" s="682"/>
      <c r="F46" s="682"/>
      <c r="G46" s="682"/>
      <c r="H46" s="682"/>
      <c r="I46" s="682"/>
      <c r="J46" s="682"/>
      <c r="K46" s="682"/>
      <c r="L46" s="682"/>
      <c r="M46" s="682"/>
      <c r="N46" s="682"/>
      <c r="O46" s="682"/>
    </row>
    <row r="47" spans="1:15">
      <c r="A47" s="682"/>
      <c r="B47" s="682"/>
      <c r="C47" s="682"/>
      <c r="D47" s="682"/>
      <c r="E47" s="682"/>
      <c r="F47" s="682"/>
      <c r="G47" s="682"/>
      <c r="H47" s="682"/>
      <c r="I47" s="682"/>
      <c r="J47" s="682"/>
      <c r="K47" s="682"/>
      <c r="L47" s="682"/>
      <c r="M47" s="682"/>
      <c r="N47" s="682"/>
      <c r="O47" s="682"/>
    </row>
    <row r="48" spans="1:15">
      <c r="A48" s="682"/>
      <c r="B48" s="682"/>
      <c r="C48" s="682"/>
      <c r="D48" s="682"/>
      <c r="E48" s="682"/>
      <c r="F48" s="682"/>
      <c r="G48" s="682"/>
      <c r="H48" s="682"/>
      <c r="I48" s="682"/>
      <c r="J48" s="682"/>
      <c r="K48" s="682"/>
      <c r="L48" s="682"/>
      <c r="M48" s="682"/>
      <c r="N48" s="682"/>
      <c r="O48" s="682"/>
    </row>
    <row r="49" spans="1:15">
      <c r="A49" s="682"/>
      <c r="B49" s="682"/>
      <c r="C49" s="682"/>
      <c r="D49" s="682"/>
      <c r="E49" s="682"/>
      <c r="F49" s="682"/>
      <c r="G49" s="682"/>
      <c r="H49" s="682"/>
      <c r="I49" s="682"/>
      <c r="J49" s="682"/>
      <c r="K49" s="682"/>
      <c r="L49" s="682"/>
      <c r="M49" s="682"/>
      <c r="N49" s="682"/>
      <c r="O49" s="682"/>
    </row>
    <row r="50" spans="1:15">
      <c r="A50" s="682"/>
      <c r="B50" s="682"/>
      <c r="C50" s="682"/>
      <c r="D50" s="682"/>
      <c r="E50" s="682"/>
      <c r="F50" s="682"/>
      <c r="G50" s="682"/>
      <c r="H50" s="682"/>
      <c r="I50" s="682"/>
      <c r="J50" s="682"/>
      <c r="K50" s="682"/>
      <c r="L50" s="682"/>
      <c r="M50" s="682"/>
      <c r="N50" s="682"/>
      <c r="O50" s="682"/>
    </row>
    <row r="51" spans="1:15">
      <c r="A51" s="682"/>
      <c r="B51" s="682"/>
      <c r="C51" s="682"/>
      <c r="D51" s="682"/>
      <c r="E51" s="682"/>
      <c r="F51" s="682"/>
      <c r="G51" s="682"/>
      <c r="H51" s="682"/>
      <c r="I51" s="682"/>
      <c r="J51" s="682"/>
      <c r="K51" s="682"/>
      <c r="L51" s="682"/>
      <c r="M51" s="682"/>
      <c r="N51" s="682"/>
      <c r="O51" s="682"/>
    </row>
    <row r="52" spans="1:15">
      <c r="A52" s="682"/>
      <c r="B52" s="682"/>
      <c r="C52" s="682"/>
      <c r="D52" s="682"/>
      <c r="E52" s="682"/>
      <c r="F52" s="682"/>
      <c r="G52" s="682"/>
      <c r="H52" s="682"/>
      <c r="I52" s="682"/>
      <c r="J52" s="682"/>
      <c r="K52" s="682"/>
      <c r="L52" s="682"/>
      <c r="M52" s="682"/>
      <c r="N52" s="682"/>
      <c r="O52" s="682"/>
    </row>
    <row r="53" spans="1:15">
      <c r="A53" s="682"/>
      <c r="B53" s="682"/>
      <c r="C53" s="682"/>
      <c r="D53" s="682"/>
      <c r="E53" s="682"/>
      <c r="F53" s="682"/>
      <c r="G53" s="682"/>
      <c r="H53" s="682"/>
      <c r="I53" s="682"/>
      <c r="J53" s="682"/>
      <c r="K53" s="682"/>
      <c r="L53" s="682"/>
      <c r="M53" s="682"/>
      <c r="N53" s="682"/>
      <c r="O53" s="682"/>
    </row>
    <row r="54" spans="1:15">
      <c r="A54" s="682"/>
      <c r="B54" s="682"/>
      <c r="C54" s="682"/>
      <c r="D54" s="682"/>
      <c r="E54" s="682"/>
      <c r="F54" s="682"/>
      <c r="G54" s="682"/>
      <c r="H54" s="682"/>
      <c r="I54" s="682"/>
      <c r="J54" s="682"/>
      <c r="K54" s="682"/>
      <c r="L54" s="682"/>
      <c r="M54" s="682"/>
      <c r="N54" s="682"/>
      <c r="O54" s="682"/>
    </row>
    <row r="55" spans="1:15">
      <c r="A55" s="682"/>
      <c r="B55" s="682"/>
      <c r="C55" s="682"/>
      <c r="D55" s="682"/>
      <c r="E55" s="682"/>
      <c r="F55" s="682"/>
      <c r="G55" s="682"/>
      <c r="H55" s="682"/>
      <c r="I55" s="682"/>
      <c r="J55" s="682"/>
      <c r="K55" s="682"/>
      <c r="L55" s="682"/>
      <c r="M55" s="682"/>
      <c r="N55" s="682"/>
      <c r="O55" s="682"/>
    </row>
    <row r="56" spans="1:15">
      <c r="A56" s="682"/>
      <c r="B56" s="682"/>
      <c r="C56" s="682"/>
      <c r="D56" s="682"/>
      <c r="E56" s="682"/>
      <c r="F56" s="682"/>
      <c r="G56" s="682"/>
      <c r="H56" s="682"/>
      <c r="I56" s="682"/>
      <c r="J56" s="682"/>
      <c r="K56" s="682"/>
      <c r="L56" s="682"/>
      <c r="M56" s="682"/>
      <c r="N56" s="682"/>
      <c r="O56" s="682"/>
    </row>
    <row r="57" spans="1:15">
      <c r="A57" s="682"/>
      <c r="B57" s="682"/>
      <c r="C57" s="682"/>
      <c r="D57" s="682"/>
      <c r="E57" s="682"/>
      <c r="F57" s="682"/>
      <c r="G57" s="682"/>
      <c r="H57" s="682"/>
      <c r="I57" s="682"/>
      <c r="J57" s="682"/>
      <c r="K57" s="682"/>
      <c r="L57" s="682"/>
      <c r="M57" s="682"/>
      <c r="N57" s="682"/>
      <c r="O57" s="682"/>
    </row>
    <row r="58" spans="1:15">
      <c r="A58" s="682"/>
      <c r="B58" s="682"/>
      <c r="C58" s="682"/>
      <c r="D58" s="682"/>
      <c r="E58" s="682"/>
      <c r="F58" s="682"/>
      <c r="G58" s="682"/>
      <c r="H58" s="682"/>
      <c r="I58" s="682"/>
      <c r="J58" s="682"/>
      <c r="K58" s="682"/>
      <c r="L58" s="682"/>
      <c r="M58" s="682"/>
      <c r="N58" s="682"/>
      <c r="O58" s="682"/>
    </row>
    <row r="59" spans="1:15">
      <c r="A59" s="682"/>
      <c r="B59" s="682"/>
      <c r="C59" s="682"/>
      <c r="D59" s="682"/>
      <c r="E59" s="682"/>
      <c r="F59" s="682"/>
      <c r="G59" s="682"/>
      <c r="H59" s="682"/>
      <c r="I59" s="682"/>
      <c r="J59" s="682"/>
      <c r="K59" s="682"/>
      <c r="L59" s="682"/>
      <c r="M59" s="682"/>
      <c r="N59" s="682"/>
      <c r="O59" s="682"/>
    </row>
    <row r="60" spans="1:15">
      <c r="A60" s="682"/>
      <c r="B60" s="682"/>
      <c r="C60" s="682"/>
      <c r="D60" s="682"/>
      <c r="E60" s="682"/>
      <c r="F60" s="682"/>
      <c r="G60" s="682"/>
      <c r="H60" s="682"/>
      <c r="I60" s="682"/>
      <c r="J60" s="682"/>
      <c r="K60" s="682"/>
      <c r="L60" s="682"/>
      <c r="M60" s="682"/>
      <c r="N60" s="682"/>
      <c r="O60" s="682"/>
    </row>
    <row r="61" spans="1:15">
      <c r="A61" s="682"/>
      <c r="B61" s="682"/>
      <c r="C61" s="682"/>
      <c r="D61" s="682"/>
      <c r="E61" s="682"/>
      <c r="F61" s="682"/>
      <c r="G61" s="682"/>
      <c r="H61" s="682"/>
      <c r="I61" s="682"/>
      <c r="J61" s="682"/>
      <c r="K61" s="682"/>
      <c r="L61" s="682"/>
      <c r="M61" s="682"/>
      <c r="N61" s="682"/>
      <c r="O61" s="682"/>
    </row>
    <row r="62" spans="1:15">
      <c r="A62" s="682"/>
      <c r="B62" s="682"/>
      <c r="C62" s="682"/>
      <c r="D62" s="682"/>
      <c r="E62" s="682"/>
      <c r="F62" s="682"/>
      <c r="G62" s="682"/>
      <c r="H62" s="682"/>
      <c r="I62" s="682"/>
      <c r="J62" s="682"/>
      <c r="K62" s="682"/>
      <c r="L62" s="682"/>
      <c r="M62" s="682"/>
      <c r="N62" s="682"/>
      <c r="O62" s="682"/>
    </row>
    <row r="63" spans="1:15">
      <c r="A63" s="682"/>
      <c r="B63" s="682"/>
      <c r="C63" s="682"/>
      <c r="D63" s="682"/>
      <c r="E63" s="682"/>
      <c r="F63" s="682"/>
      <c r="G63" s="682"/>
      <c r="H63" s="682"/>
      <c r="I63" s="682"/>
      <c r="J63" s="682"/>
      <c r="K63" s="682"/>
      <c r="L63" s="682"/>
      <c r="M63" s="682"/>
      <c r="N63" s="682"/>
      <c r="O63" s="682"/>
    </row>
    <row r="64" spans="1:15">
      <c r="A64" s="682"/>
      <c r="B64" s="682"/>
      <c r="C64" s="682"/>
      <c r="D64" s="682"/>
      <c r="E64" s="682"/>
      <c r="F64" s="682"/>
      <c r="G64" s="682"/>
      <c r="H64" s="682"/>
      <c r="I64" s="682"/>
      <c r="J64" s="682"/>
      <c r="K64" s="682"/>
      <c r="L64" s="682"/>
      <c r="M64" s="682"/>
      <c r="N64" s="682"/>
      <c r="O64" s="682"/>
    </row>
    <row r="65" spans="1:15">
      <c r="A65" s="682"/>
      <c r="B65" s="682"/>
      <c r="C65" s="682"/>
      <c r="D65" s="682"/>
      <c r="E65" s="682"/>
      <c r="F65" s="682"/>
      <c r="G65" s="682"/>
      <c r="H65" s="682"/>
      <c r="I65" s="682"/>
      <c r="J65" s="682"/>
      <c r="K65" s="682"/>
      <c r="L65" s="682"/>
      <c r="M65" s="682"/>
      <c r="N65" s="682"/>
      <c r="O65" s="682"/>
    </row>
    <row r="66" spans="1:15">
      <c r="A66" s="682"/>
      <c r="B66" s="682"/>
      <c r="C66" s="682"/>
      <c r="D66" s="682"/>
      <c r="E66" s="682"/>
      <c r="F66" s="682"/>
      <c r="G66" s="682"/>
      <c r="H66" s="682"/>
      <c r="I66" s="682"/>
      <c r="J66" s="682"/>
      <c r="K66" s="682"/>
      <c r="L66" s="682"/>
      <c r="M66" s="682"/>
      <c r="N66" s="682"/>
      <c r="O66" s="682"/>
    </row>
    <row r="67" spans="1:15">
      <c r="A67" s="682"/>
      <c r="B67" s="682"/>
      <c r="C67" s="682"/>
      <c r="D67" s="682"/>
      <c r="E67" s="682"/>
      <c r="F67" s="682"/>
      <c r="G67" s="682"/>
      <c r="H67" s="682"/>
      <c r="I67" s="682"/>
      <c r="J67" s="682"/>
      <c r="K67" s="682"/>
      <c r="L67" s="682"/>
      <c r="M67" s="682"/>
      <c r="N67" s="682"/>
      <c r="O67" s="682"/>
    </row>
    <row r="68" spans="1:15">
      <c r="A68" s="682"/>
      <c r="B68" s="682"/>
      <c r="C68" s="682"/>
      <c r="D68" s="682"/>
      <c r="E68" s="682"/>
      <c r="F68" s="682"/>
      <c r="G68" s="682"/>
      <c r="H68" s="682"/>
      <c r="I68" s="682"/>
      <c r="J68" s="682"/>
      <c r="K68" s="682"/>
      <c r="L68" s="682"/>
      <c r="M68" s="682"/>
      <c r="N68" s="682"/>
      <c r="O68" s="682"/>
    </row>
    <row r="69" spans="1:15">
      <c r="A69" s="682"/>
      <c r="B69" s="682"/>
      <c r="C69" s="682"/>
      <c r="D69" s="682"/>
      <c r="E69" s="682"/>
      <c r="F69" s="682"/>
      <c r="G69" s="682"/>
      <c r="H69" s="682"/>
      <c r="I69" s="682"/>
      <c r="J69" s="682"/>
      <c r="K69" s="682"/>
      <c r="L69" s="682"/>
      <c r="M69" s="682"/>
      <c r="N69" s="682"/>
      <c r="O69" s="682"/>
    </row>
    <row r="70" spans="1:15">
      <c r="A70" s="682"/>
      <c r="B70" s="682"/>
      <c r="C70" s="682"/>
      <c r="D70" s="682"/>
      <c r="E70" s="682"/>
      <c r="F70" s="682"/>
      <c r="G70" s="682"/>
      <c r="H70" s="682"/>
      <c r="I70" s="682"/>
      <c r="J70" s="682"/>
      <c r="K70" s="682"/>
      <c r="L70" s="682"/>
      <c r="M70" s="682"/>
      <c r="N70" s="682"/>
      <c r="O70" s="682"/>
    </row>
    <row r="71" spans="1:15">
      <c r="A71" s="682"/>
      <c r="B71" s="682"/>
      <c r="C71" s="682"/>
      <c r="D71" s="682"/>
      <c r="E71" s="682"/>
      <c r="F71" s="682"/>
      <c r="G71" s="682"/>
      <c r="H71" s="682"/>
      <c r="I71" s="682"/>
      <c r="J71" s="682"/>
      <c r="K71" s="682"/>
      <c r="L71" s="682"/>
      <c r="M71" s="682"/>
      <c r="N71" s="682"/>
      <c r="O71" s="682"/>
    </row>
    <row r="72" spans="1:15">
      <c r="A72" s="682"/>
      <c r="B72" s="682"/>
      <c r="C72" s="682"/>
      <c r="D72" s="682"/>
      <c r="E72" s="682"/>
      <c r="F72" s="682"/>
      <c r="G72" s="682"/>
      <c r="H72" s="682"/>
      <c r="I72" s="682"/>
      <c r="J72" s="682"/>
      <c r="K72" s="682"/>
      <c r="L72" s="682"/>
      <c r="M72" s="682"/>
      <c r="N72" s="682"/>
      <c r="O72" s="682"/>
    </row>
    <row r="73" spans="1:15">
      <c r="A73" s="682"/>
      <c r="B73" s="682"/>
      <c r="C73" s="682"/>
      <c r="D73" s="682"/>
      <c r="E73" s="682"/>
      <c r="F73" s="682"/>
      <c r="G73" s="682"/>
      <c r="H73" s="682"/>
      <c r="I73" s="682"/>
      <c r="J73" s="682"/>
      <c r="K73" s="682"/>
      <c r="L73" s="682"/>
      <c r="M73" s="682"/>
      <c r="N73" s="682"/>
      <c r="O73" s="682"/>
    </row>
    <row r="74" spans="1:15">
      <c r="A74" s="682"/>
      <c r="B74" s="682"/>
      <c r="C74" s="682"/>
      <c r="D74" s="682"/>
      <c r="E74" s="682"/>
      <c r="F74" s="682"/>
      <c r="G74" s="682"/>
      <c r="H74" s="682"/>
      <c r="I74" s="682"/>
      <c r="J74" s="682"/>
      <c r="K74" s="682"/>
      <c r="L74" s="682"/>
      <c r="M74" s="682"/>
      <c r="N74" s="682"/>
      <c r="O74" s="682"/>
    </row>
    <row r="75" spans="1:15">
      <c r="A75" s="682"/>
      <c r="B75" s="682"/>
      <c r="C75" s="682"/>
      <c r="D75" s="682"/>
      <c r="E75" s="682"/>
      <c r="F75" s="682"/>
      <c r="G75" s="682"/>
      <c r="H75" s="682"/>
      <c r="I75" s="682"/>
      <c r="J75" s="682"/>
      <c r="K75" s="682"/>
      <c r="L75" s="682"/>
      <c r="M75" s="682"/>
      <c r="N75" s="682"/>
      <c r="O75" s="682"/>
    </row>
    <row r="76" spans="1:15">
      <c r="A76" s="682"/>
      <c r="B76" s="682"/>
      <c r="C76" s="682"/>
      <c r="D76" s="682"/>
      <c r="E76" s="682"/>
      <c r="F76" s="682"/>
      <c r="G76" s="682"/>
      <c r="H76" s="682"/>
      <c r="I76" s="682"/>
      <c r="J76" s="682"/>
      <c r="K76" s="682"/>
      <c r="L76" s="682"/>
      <c r="M76" s="682"/>
      <c r="N76" s="682"/>
      <c r="O76" s="682"/>
    </row>
    <row r="77" spans="1:15">
      <c r="A77" s="682"/>
      <c r="B77" s="682"/>
      <c r="C77" s="682"/>
      <c r="D77" s="682"/>
      <c r="E77" s="682"/>
      <c r="F77" s="682"/>
      <c r="G77" s="682"/>
      <c r="H77" s="682"/>
      <c r="I77" s="682"/>
      <c r="J77" s="682"/>
      <c r="K77" s="682"/>
      <c r="L77" s="682"/>
      <c r="M77" s="682"/>
      <c r="N77" s="682"/>
      <c r="O77" s="682"/>
    </row>
    <row r="78" spans="1:15">
      <c r="A78" s="682"/>
      <c r="B78" s="682"/>
      <c r="C78" s="682"/>
      <c r="D78" s="682"/>
      <c r="E78" s="682"/>
      <c r="F78" s="682"/>
      <c r="G78" s="682"/>
      <c r="H78" s="682"/>
      <c r="I78" s="682"/>
      <c r="J78" s="682"/>
      <c r="K78" s="682"/>
      <c r="L78" s="682"/>
      <c r="M78" s="682"/>
      <c r="N78" s="682"/>
      <c r="O78" s="682"/>
    </row>
    <row r="79" spans="1:15">
      <c r="A79" s="682"/>
      <c r="B79" s="682"/>
      <c r="C79" s="682"/>
      <c r="D79" s="682"/>
      <c r="E79" s="682"/>
      <c r="F79" s="682"/>
      <c r="G79" s="682"/>
      <c r="H79" s="682"/>
      <c r="I79" s="682"/>
      <c r="J79" s="682"/>
      <c r="K79" s="682"/>
      <c r="L79" s="682"/>
      <c r="M79" s="682"/>
      <c r="N79" s="682"/>
      <c r="O79" s="682"/>
    </row>
    <row r="80" spans="1:15">
      <c r="A80" s="682"/>
      <c r="B80" s="682"/>
      <c r="C80" s="682"/>
      <c r="D80" s="682"/>
      <c r="E80" s="682"/>
      <c r="F80" s="682"/>
      <c r="G80" s="682"/>
      <c r="H80" s="682"/>
      <c r="I80" s="682"/>
      <c r="J80" s="682"/>
      <c r="K80" s="682"/>
      <c r="L80" s="682"/>
      <c r="M80" s="682"/>
      <c r="N80" s="682"/>
      <c r="O80" s="682"/>
    </row>
    <row r="81" spans="1:15">
      <c r="A81" s="682"/>
      <c r="B81" s="682"/>
      <c r="C81" s="682"/>
      <c r="D81" s="682"/>
      <c r="E81" s="682"/>
      <c r="F81" s="682"/>
      <c r="G81" s="682"/>
      <c r="H81" s="682"/>
      <c r="I81" s="682"/>
      <c r="J81" s="682"/>
      <c r="K81" s="682"/>
      <c r="L81" s="682"/>
      <c r="M81" s="682"/>
      <c r="N81" s="682"/>
      <c r="O81" s="682"/>
    </row>
    <row r="82" spans="1:15">
      <c r="A82" s="682"/>
      <c r="B82" s="682"/>
      <c r="C82" s="682"/>
      <c r="D82" s="682"/>
      <c r="E82" s="682"/>
      <c r="F82" s="682"/>
      <c r="G82" s="682"/>
      <c r="H82" s="682"/>
      <c r="I82" s="682"/>
      <c r="J82" s="682"/>
      <c r="K82" s="682"/>
      <c r="L82" s="682"/>
      <c r="M82" s="682"/>
      <c r="N82" s="682"/>
      <c r="O82" s="682"/>
    </row>
    <row r="83" spans="1:15">
      <c r="A83" s="682"/>
      <c r="B83" s="682"/>
      <c r="C83" s="682"/>
      <c r="D83" s="682"/>
      <c r="E83" s="682"/>
      <c r="F83" s="682"/>
      <c r="G83" s="682"/>
      <c r="H83" s="682"/>
      <c r="I83" s="682"/>
      <c r="J83" s="682"/>
      <c r="K83" s="682"/>
      <c r="L83" s="682"/>
      <c r="M83" s="682"/>
      <c r="N83" s="682"/>
      <c r="O83" s="682"/>
    </row>
    <row r="84" spans="1:15">
      <c r="A84" s="682"/>
      <c r="B84" s="682"/>
      <c r="C84" s="682"/>
      <c r="D84" s="682"/>
      <c r="E84" s="682"/>
      <c r="F84" s="682"/>
      <c r="G84" s="682"/>
      <c r="H84" s="682"/>
      <c r="I84" s="682"/>
      <c r="J84" s="682"/>
      <c r="K84" s="682"/>
      <c r="L84" s="682"/>
      <c r="M84" s="682"/>
      <c r="N84" s="682"/>
      <c r="O84" s="682"/>
    </row>
    <row r="85" spans="1:15">
      <c r="A85" s="682"/>
      <c r="B85" s="682"/>
      <c r="C85" s="682"/>
      <c r="D85" s="682"/>
      <c r="E85" s="682"/>
      <c r="F85" s="682"/>
      <c r="G85" s="682"/>
      <c r="H85" s="682"/>
      <c r="I85" s="682"/>
      <c r="J85" s="682"/>
      <c r="K85" s="682"/>
      <c r="L85" s="682"/>
      <c r="M85" s="682"/>
      <c r="N85" s="682"/>
      <c r="O85" s="682"/>
    </row>
    <row r="86" spans="1:15">
      <c r="A86" s="682"/>
      <c r="B86" s="682"/>
      <c r="C86" s="682"/>
      <c r="D86" s="682"/>
      <c r="E86" s="682"/>
      <c r="F86" s="682"/>
      <c r="G86" s="682"/>
      <c r="H86" s="682"/>
      <c r="I86" s="682"/>
      <c r="J86" s="682"/>
      <c r="K86" s="682"/>
      <c r="L86" s="682"/>
      <c r="M86" s="682"/>
      <c r="N86" s="682"/>
      <c r="O86" s="682"/>
    </row>
    <row r="87" spans="1:15">
      <c r="A87" s="682"/>
      <c r="B87" s="682"/>
      <c r="C87" s="682"/>
      <c r="D87" s="682"/>
      <c r="E87" s="682"/>
      <c r="F87" s="682"/>
      <c r="G87" s="682"/>
      <c r="H87" s="682"/>
      <c r="I87" s="682"/>
      <c r="J87" s="682"/>
      <c r="K87" s="682"/>
      <c r="L87" s="682"/>
      <c r="M87" s="682"/>
      <c r="N87" s="682"/>
      <c r="O87" s="682"/>
    </row>
    <row r="88" spans="1:15">
      <c r="A88" s="682"/>
      <c r="B88" s="682"/>
      <c r="C88" s="682"/>
      <c r="D88" s="682"/>
      <c r="E88" s="682"/>
      <c r="F88" s="682"/>
      <c r="G88" s="682"/>
      <c r="H88" s="682"/>
      <c r="I88" s="682"/>
      <c r="J88" s="682"/>
      <c r="K88" s="682"/>
      <c r="L88" s="682"/>
      <c r="M88" s="682"/>
      <c r="N88" s="682"/>
      <c r="O88" s="682"/>
    </row>
    <row r="89" spans="1:15">
      <c r="A89" s="682"/>
      <c r="B89" s="682"/>
      <c r="C89" s="682"/>
      <c r="D89" s="682"/>
      <c r="E89" s="682"/>
      <c r="F89" s="682"/>
      <c r="G89" s="682"/>
      <c r="H89" s="682"/>
      <c r="I89" s="682"/>
      <c r="J89" s="682"/>
      <c r="K89" s="682"/>
      <c r="L89" s="682"/>
      <c r="M89" s="682"/>
      <c r="N89" s="682"/>
      <c r="O89" s="682"/>
    </row>
    <row r="90" spans="1:15">
      <c r="A90" s="682"/>
      <c r="B90" s="682"/>
      <c r="C90" s="682"/>
      <c r="D90" s="682"/>
      <c r="E90" s="682"/>
      <c r="F90" s="682"/>
      <c r="G90" s="682"/>
      <c r="H90" s="682"/>
      <c r="I90" s="682"/>
      <c r="J90" s="682"/>
      <c r="K90" s="682"/>
      <c r="L90" s="682"/>
      <c r="M90" s="682"/>
      <c r="N90" s="682"/>
      <c r="O90" s="682"/>
    </row>
    <row r="91" spans="1:15">
      <c r="A91" s="682"/>
      <c r="B91" s="682"/>
      <c r="C91" s="682"/>
      <c r="D91" s="682"/>
      <c r="E91" s="682"/>
      <c r="F91" s="682"/>
      <c r="G91" s="682"/>
      <c r="H91" s="682"/>
      <c r="I91" s="682"/>
      <c r="J91" s="682"/>
      <c r="K91" s="682"/>
      <c r="L91" s="682"/>
      <c r="M91" s="682"/>
      <c r="N91" s="682"/>
      <c r="O91" s="682"/>
    </row>
    <row r="92" spans="1:15">
      <c r="A92" s="682"/>
      <c r="B92" s="682"/>
      <c r="C92" s="682"/>
      <c r="D92" s="682"/>
      <c r="E92" s="682"/>
      <c r="F92" s="682"/>
      <c r="G92" s="682"/>
      <c r="H92" s="682"/>
      <c r="I92" s="682"/>
      <c r="J92" s="682"/>
      <c r="K92" s="682"/>
      <c r="L92" s="682"/>
      <c r="M92" s="682"/>
      <c r="N92" s="682"/>
      <c r="O92" s="682"/>
    </row>
    <row r="93" spans="1:15">
      <c r="A93" s="682"/>
      <c r="B93" s="682"/>
      <c r="C93" s="682"/>
      <c r="D93" s="682"/>
      <c r="E93" s="682"/>
      <c r="F93" s="682"/>
      <c r="G93" s="682"/>
      <c r="H93" s="682"/>
      <c r="I93" s="682"/>
      <c r="J93" s="682"/>
      <c r="K93" s="682"/>
      <c r="L93" s="682"/>
      <c r="M93" s="682"/>
      <c r="N93" s="682"/>
      <c r="O93" s="682"/>
    </row>
    <row r="94" spans="1:15">
      <c r="A94" s="682"/>
      <c r="B94" s="682"/>
      <c r="C94" s="682"/>
      <c r="D94" s="682"/>
      <c r="E94" s="682"/>
      <c r="F94" s="682"/>
      <c r="G94" s="682"/>
      <c r="H94" s="682"/>
      <c r="I94" s="682"/>
      <c r="J94" s="682"/>
      <c r="K94" s="682"/>
      <c r="L94" s="682"/>
      <c r="M94" s="682"/>
      <c r="N94" s="682"/>
      <c r="O94" s="682"/>
    </row>
    <row r="95" spans="1:15">
      <c r="A95" s="682"/>
      <c r="B95" s="682"/>
      <c r="C95" s="682"/>
      <c r="D95" s="682"/>
      <c r="E95" s="682"/>
      <c r="F95" s="682"/>
      <c r="G95" s="682"/>
      <c r="H95" s="682"/>
      <c r="I95" s="682"/>
      <c r="J95" s="682"/>
      <c r="K95" s="682"/>
      <c r="L95" s="682"/>
      <c r="M95" s="682"/>
      <c r="N95" s="682"/>
      <c r="O95" s="682"/>
    </row>
    <row r="96" spans="1:15">
      <c r="A96" s="682"/>
      <c r="B96" s="682"/>
      <c r="C96" s="682"/>
      <c r="D96" s="682"/>
      <c r="E96" s="682"/>
      <c r="F96" s="682"/>
      <c r="G96" s="682"/>
      <c r="H96" s="682"/>
      <c r="I96" s="682"/>
      <c r="J96" s="682"/>
      <c r="K96" s="682"/>
      <c r="L96" s="682"/>
      <c r="M96" s="682"/>
      <c r="N96" s="682"/>
      <c r="O96" s="682"/>
    </row>
    <row r="97" spans="1:15">
      <c r="A97" s="682"/>
      <c r="B97" s="682"/>
      <c r="C97" s="682"/>
      <c r="D97" s="682"/>
      <c r="E97" s="682"/>
      <c r="F97" s="682"/>
      <c r="G97" s="682"/>
      <c r="H97" s="682"/>
      <c r="I97" s="682"/>
      <c r="J97" s="682"/>
      <c r="K97" s="682"/>
      <c r="L97" s="682"/>
      <c r="M97" s="682"/>
      <c r="N97" s="682"/>
      <c r="O97" s="682"/>
    </row>
    <row r="98" spans="1:15">
      <c r="A98" s="682"/>
      <c r="B98" s="682"/>
      <c r="C98" s="682"/>
      <c r="D98" s="682"/>
      <c r="E98" s="682"/>
      <c r="F98" s="682"/>
      <c r="G98" s="682"/>
      <c r="H98" s="682"/>
      <c r="I98" s="682"/>
      <c r="J98" s="682"/>
      <c r="K98" s="682"/>
      <c r="L98" s="682"/>
      <c r="M98" s="682"/>
      <c r="N98" s="682"/>
      <c r="O98" s="682"/>
    </row>
    <row r="99" spans="1:15">
      <c r="A99" s="682"/>
      <c r="B99" s="682"/>
      <c r="C99" s="682"/>
      <c r="D99" s="682"/>
      <c r="E99" s="682"/>
      <c r="F99" s="682"/>
      <c r="G99" s="682"/>
      <c r="H99" s="682"/>
      <c r="I99" s="682"/>
      <c r="J99" s="682"/>
      <c r="K99" s="682"/>
      <c r="L99" s="682"/>
      <c r="M99" s="682"/>
      <c r="N99" s="682"/>
      <c r="O99" s="682"/>
    </row>
    <row r="100" spans="1:15">
      <c r="A100" s="682"/>
      <c r="B100" s="682"/>
      <c r="C100" s="682"/>
      <c r="D100" s="682"/>
      <c r="E100" s="682"/>
      <c r="F100" s="682"/>
      <c r="G100" s="682"/>
      <c r="H100" s="682"/>
      <c r="I100" s="682"/>
      <c r="J100" s="682"/>
      <c r="K100" s="682"/>
      <c r="L100" s="682"/>
      <c r="M100" s="682"/>
      <c r="N100" s="682"/>
      <c r="O100" s="682"/>
    </row>
    <row r="101" spans="1:15">
      <c r="A101" s="682"/>
      <c r="B101" s="682"/>
      <c r="C101" s="682"/>
      <c r="D101" s="682"/>
      <c r="E101" s="682"/>
      <c r="F101" s="682"/>
      <c r="G101" s="682"/>
      <c r="H101" s="682"/>
      <c r="I101" s="682"/>
      <c r="J101" s="682"/>
      <c r="K101" s="682"/>
      <c r="L101" s="682"/>
      <c r="M101" s="682"/>
      <c r="N101" s="682"/>
      <c r="O101" s="682"/>
    </row>
    <row r="102" spans="1:15">
      <c r="A102" s="682"/>
      <c r="B102" s="682"/>
      <c r="C102" s="682"/>
      <c r="D102" s="682"/>
      <c r="E102" s="682"/>
      <c r="F102" s="682"/>
      <c r="G102" s="682"/>
      <c r="H102" s="682"/>
      <c r="I102" s="682"/>
      <c r="J102" s="682"/>
      <c r="K102" s="682"/>
      <c r="L102" s="682"/>
      <c r="M102" s="682"/>
      <c r="N102" s="682"/>
      <c r="O102" s="682"/>
    </row>
    <row r="103" spans="1:15">
      <c r="A103" s="682"/>
      <c r="B103" s="682"/>
      <c r="C103" s="682"/>
      <c r="D103" s="682"/>
      <c r="E103" s="682"/>
      <c r="F103" s="682"/>
      <c r="G103" s="682"/>
      <c r="H103" s="682"/>
      <c r="I103" s="682"/>
      <c r="J103" s="682"/>
      <c r="K103" s="682"/>
      <c r="L103" s="682"/>
      <c r="M103" s="682"/>
      <c r="N103" s="682"/>
      <c r="O103" s="682"/>
    </row>
    <row r="104" spans="1:15">
      <c r="A104" s="682"/>
      <c r="B104" s="682"/>
      <c r="C104" s="682"/>
      <c r="D104" s="682"/>
      <c r="E104" s="682"/>
      <c r="F104" s="682"/>
      <c r="G104" s="682"/>
      <c r="H104" s="682"/>
      <c r="I104" s="682"/>
      <c r="J104" s="682"/>
      <c r="K104" s="682"/>
      <c r="L104" s="682"/>
      <c r="M104" s="682"/>
      <c r="N104" s="682"/>
      <c r="O104" s="682"/>
    </row>
    <row r="105" spans="1:15">
      <c r="A105" s="682"/>
      <c r="B105" s="682"/>
      <c r="C105" s="682"/>
      <c r="D105" s="682"/>
      <c r="E105" s="682"/>
      <c r="F105" s="682"/>
      <c r="G105" s="682"/>
      <c r="H105" s="682"/>
      <c r="I105" s="682"/>
      <c r="J105" s="682"/>
      <c r="K105" s="682"/>
      <c r="L105" s="682"/>
      <c r="M105" s="682"/>
      <c r="N105" s="682"/>
      <c r="O105" s="682"/>
    </row>
    <row r="106" spans="1:15">
      <c r="A106" s="682"/>
      <c r="B106" s="682"/>
      <c r="C106" s="682"/>
      <c r="D106" s="682"/>
      <c r="E106" s="682"/>
      <c r="F106" s="682"/>
      <c r="G106" s="682"/>
      <c r="H106" s="682"/>
      <c r="I106" s="682"/>
      <c r="J106" s="682"/>
      <c r="K106" s="682"/>
      <c r="L106" s="682"/>
      <c r="M106" s="682"/>
      <c r="N106" s="682"/>
      <c r="O106" s="682"/>
    </row>
    <row r="107" spans="1:15">
      <c r="A107" s="682"/>
      <c r="B107" s="682"/>
      <c r="C107" s="682"/>
      <c r="D107" s="682"/>
      <c r="E107" s="682"/>
      <c r="F107" s="682"/>
      <c r="G107" s="682"/>
      <c r="H107" s="682"/>
      <c r="I107" s="682"/>
      <c r="J107" s="682"/>
      <c r="K107" s="682"/>
      <c r="L107" s="682"/>
      <c r="M107" s="682"/>
      <c r="N107" s="682"/>
      <c r="O107" s="682"/>
    </row>
    <row r="108" spans="1:15">
      <c r="A108" s="682"/>
      <c r="B108" s="682"/>
      <c r="C108" s="682"/>
      <c r="D108" s="682"/>
      <c r="E108" s="682"/>
      <c r="F108" s="682"/>
      <c r="G108" s="682"/>
      <c r="H108" s="682"/>
      <c r="I108" s="682"/>
      <c r="J108" s="682"/>
      <c r="K108" s="682"/>
      <c r="L108" s="682"/>
      <c r="M108" s="682"/>
      <c r="N108" s="682"/>
      <c r="O108" s="682"/>
    </row>
    <row r="109" spans="1:15">
      <c r="A109" s="682"/>
      <c r="B109" s="682"/>
      <c r="C109" s="682"/>
      <c r="D109" s="682"/>
      <c r="E109" s="682"/>
      <c r="F109" s="682"/>
      <c r="G109" s="682"/>
      <c r="H109" s="682"/>
      <c r="I109" s="682"/>
      <c r="J109" s="682"/>
      <c r="K109" s="682"/>
      <c r="L109" s="682"/>
      <c r="M109" s="682"/>
      <c r="N109" s="682"/>
      <c r="O109" s="682"/>
    </row>
    <row r="110" spans="1:15">
      <c r="A110" s="682"/>
      <c r="B110" s="682"/>
      <c r="C110" s="682"/>
      <c r="D110" s="682"/>
      <c r="E110" s="682"/>
      <c r="F110" s="682"/>
      <c r="G110" s="682"/>
      <c r="H110" s="682"/>
      <c r="I110" s="682"/>
      <c r="J110" s="682"/>
      <c r="K110" s="682"/>
      <c r="L110" s="682"/>
      <c r="M110" s="682"/>
      <c r="N110" s="682"/>
      <c r="O110" s="682"/>
    </row>
    <row r="111" spans="1:15">
      <c r="A111" s="682"/>
      <c r="B111" s="682"/>
      <c r="C111" s="682"/>
      <c r="D111" s="682"/>
      <c r="E111" s="682"/>
      <c r="F111" s="682"/>
      <c r="G111" s="682"/>
      <c r="H111" s="682"/>
      <c r="I111" s="682"/>
      <c r="J111" s="682"/>
      <c r="K111" s="682"/>
      <c r="L111" s="682"/>
      <c r="M111" s="682"/>
      <c r="N111" s="682"/>
      <c r="O111" s="682"/>
    </row>
    <row r="112" spans="1:15">
      <c r="A112" s="682"/>
      <c r="B112" s="682"/>
      <c r="C112" s="682"/>
      <c r="D112" s="682"/>
      <c r="E112" s="682"/>
      <c r="F112" s="682"/>
      <c r="G112" s="682"/>
      <c r="H112" s="682"/>
      <c r="I112" s="682"/>
      <c r="J112" s="682"/>
      <c r="K112" s="682"/>
      <c r="L112" s="682"/>
      <c r="M112" s="682"/>
      <c r="N112" s="682"/>
      <c r="O112" s="682"/>
    </row>
    <row r="113" spans="1:15">
      <c r="A113" s="682"/>
      <c r="B113" s="682"/>
      <c r="C113" s="682"/>
      <c r="D113" s="682"/>
      <c r="E113" s="682"/>
      <c r="F113" s="682"/>
      <c r="G113" s="682"/>
      <c r="H113" s="682"/>
      <c r="I113" s="682"/>
      <c r="J113" s="682"/>
      <c r="K113" s="682"/>
      <c r="L113" s="682"/>
      <c r="M113" s="682"/>
      <c r="N113" s="682"/>
      <c r="O113" s="682"/>
    </row>
    <row r="114" spans="1:15">
      <c r="A114" s="682"/>
      <c r="B114" s="682"/>
      <c r="C114" s="682"/>
      <c r="D114" s="682"/>
      <c r="E114" s="682"/>
      <c r="F114" s="682"/>
      <c r="G114" s="682"/>
      <c r="H114" s="682"/>
      <c r="I114" s="682"/>
      <c r="J114" s="682"/>
      <c r="K114" s="682"/>
      <c r="L114" s="682"/>
      <c r="M114" s="682"/>
      <c r="N114" s="682"/>
      <c r="O114" s="682"/>
    </row>
    <row r="115" spans="1:15">
      <c r="A115" s="682"/>
      <c r="B115" s="682"/>
      <c r="C115" s="682"/>
      <c r="D115" s="682"/>
      <c r="E115" s="682"/>
      <c r="F115" s="682"/>
      <c r="G115" s="682"/>
      <c r="H115" s="682"/>
      <c r="I115" s="682"/>
      <c r="J115" s="682"/>
      <c r="K115" s="682"/>
      <c r="L115" s="682"/>
      <c r="M115" s="682"/>
      <c r="N115" s="682"/>
      <c r="O115" s="682"/>
    </row>
    <row r="116" spans="1:15">
      <c r="A116" s="682"/>
      <c r="B116" s="682"/>
      <c r="C116" s="682"/>
      <c r="D116" s="682"/>
      <c r="E116" s="682"/>
      <c r="F116" s="682"/>
      <c r="G116" s="682"/>
      <c r="H116" s="682"/>
      <c r="I116" s="682"/>
      <c r="J116" s="682"/>
      <c r="K116" s="682"/>
      <c r="L116" s="682"/>
      <c r="M116" s="682"/>
      <c r="N116" s="682"/>
      <c r="O116" s="682"/>
    </row>
    <row r="117" spans="1:15">
      <c r="A117" s="682"/>
      <c r="B117" s="682"/>
      <c r="C117" s="682"/>
      <c r="D117" s="682"/>
      <c r="E117" s="682"/>
      <c r="F117" s="682"/>
      <c r="G117" s="682"/>
      <c r="H117" s="682"/>
      <c r="I117" s="682"/>
      <c r="J117" s="682"/>
      <c r="K117" s="682"/>
      <c r="L117" s="682"/>
      <c r="M117" s="682"/>
      <c r="N117" s="682"/>
      <c r="O117" s="682"/>
    </row>
    <row r="118" spans="1:15">
      <c r="A118" s="682"/>
      <c r="B118" s="682"/>
      <c r="C118" s="682"/>
      <c r="D118" s="682"/>
      <c r="E118" s="682"/>
      <c r="F118" s="682"/>
      <c r="G118" s="682"/>
      <c r="H118" s="682"/>
      <c r="I118" s="682"/>
      <c r="J118" s="682"/>
      <c r="K118" s="682"/>
      <c r="L118" s="682"/>
      <c r="M118" s="682"/>
      <c r="N118" s="682"/>
      <c r="O118" s="682"/>
    </row>
    <row r="119" spans="1:15">
      <c r="A119" s="682"/>
      <c r="B119" s="682"/>
      <c r="C119" s="682"/>
      <c r="D119" s="682"/>
      <c r="E119" s="682"/>
      <c r="F119" s="682"/>
      <c r="G119" s="682"/>
      <c r="H119" s="682"/>
      <c r="I119" s="682"/>
      <c r="J119" s="682"/>
      <c r="K119" s="682"/>
      <c r="L119" s="682"/>
      <c r="M119" s="682"/>
      <c r="N119" s="682"/>
      <c r="O119" s="682"/>
    </row>
    <row r="120" spans="1:15">
      <c r="A120" s="682"/>
      <c r="B120" s="682"/>
      <c r="C120" s="682"/>
      <c r="D120" s="682"/>
      <c r="E120" s="682"/>
      <c r="F120" s="682"/>
      <c r="G120" s="682"/>
      <c r="H120" s="682"/>
      <c r="I120" s="682"/>
      <c r="J120" s="682"/>
      <c r="K120" s="682"/>
      <c r="L120" s="682"/>
      <c r="M120" s="682"/>
      <c r="N120" s="682"/>
      <c r="O120" s="682"/>
    </row>
    <row r="121" spans="1:15">
      <c r="A121" s="682"/>
      <c r="B121" s="682"/>
      <c r="C121" s="682"/>
      <c r="D121" s="682"/>
      <c r="E121" s="682"/>
      <c r="F121" s="682"/>
      <c r="G121" s="682"/>
      <c r="H121" s="682"/>
      <c r="I121" s="682"/>
      <c r="J121" s="682"/>
      <c r="K121" s="682"/>
      <c r="L121" s="682"/>
      <c r="M121" s="682"/>
      <c r="N121" s="682"/>
      <c r="O121" s="682"/>
    </row>
    <row r="122" spans="1:15">
      <c r="A122" s="682"/>
      <c r="B122" s="682"/>
      <c r="C122" s="682"/>
      <c r="D122" s="682"/>
      <c r="E122" s="682"/>
      <c r="F122" s="682"/>
      <c r="G122" s="682"/>
      <c r="H122" s="682"/>
      <c r="I122" s="682"/>
      <c r="J122" s="682"/>
      <c r="K122" s="682"/>
      <c r="L122" s="682"/>
      <c r="M122" s="682"/>
      <c r="N122" s="682"/>
      <c r="O122" s="682"/>
    </row>
    <row r="123" spans="1:15">
      <c r="A123" s="682"/>
      <c r="B123" s="682"/>
      <c r="C123" s="682"/>
      <c r="D123" s="682"/>
      <c r="E123" s="682"/>
      <c r="F123" s="682"/>
      <c r="G123" s="682"/>
      <c r="H123" s="682"/>
      <c r="I123" s="682"/>
      <c r="J123" s="682"/>
      <c r="K123" s="682"/>
      <c r="L123" s="682"/>
      <c r="M123" s="682"/>
      <c r="N123" s="682"/>
      <c r="O123" s="682"/>
    </row>
    <row r="124" spans="1:15">
      <c r="A124" s="682"/>
      <c r="B124" s="682"/>
      <c r="C124" s="682"/>
      <c r="D124" s="682"/>
      <c r="E124" s="682"/>
      <c r="F124" s="682"/>
      <c r="G124" s="682"/>
      <c r="H124" s="682"/>
      <c r="I124" s="682"/>
      <c r="J124" s="682"/>
      <c r="K124" s="682"/>
      <c r="L124" s="682"/>
      <c r="M124" s="682"/>
      <c r="N124" s="682"/>
      <c r="O124" s="682"/>
    </row>
    <row r="125" spans="1:15">
      <c r="A125" s="682"/>
      <c r="B125" s="682"/>
      <c r="C125" s="682"/>
      <c r="D125" s="682"/>
      <c r="E125" s="682"/>
      <c r="F125" s="682"/>
      <c r="G125" s="682"/>
      <c r="H125" s="682"/>
      <c r="I125" s="682"/>
      <c r="J125" s="682"/>
      <c r="K125" s="682"/>
      <c r="L125" s="682"/>
      <c r="M125" s="682"/>
      <c r="N125" s="682"/>
      <c r="O125" s="682"/>
    </row>
    <row r="126" spans="1:15">
      <c r="A126" s="682"/>
      <c r="B126" s="682"/>
      <c r="C126" s="682"/>
      <c r="D126" s="682"/>
      <c r="E126" s="682"/>
      <c r="F126" s="682"/>
      <c r="G126" s="682"/>
      <c r="H126" s="682"/>
      <c r="I126" s="682"/>
      <c r="J126" s="682"/>
      <c r="K126" s="682"/>
      <c r="L126" s="682"/>
      <c r="M126" s="682"/>
      <c r="N126" s="682"/>
      <c r="O126" s="682"/>
    </row>
    <row r="127" spans="1:15">
      <c r="A127" s="682"/>
      <c r="B127" s="682"/>
      <c r="C127" s="682"/>
      <c r="D127" s="682"/>
      <c r="E127" s="682"/>
      <c r="F127" s="682"/>
      <c r="G127" s="682"/>
      <c r="H127" s="682"/>
      <c r="I127" s="682"/>
      <c r="J127" s="682"/>
      <c r="K127" s="682"/>
      <c r="L127" s="682"/>
      <c r="M127" s="682"/>
      <c r="N127" s="682"/>
      <c r="O127" s="682"/>
    </row>
    <row r="128" spans="1:15">
      <c r="A128" s="682"/>
      <c r="B128" s="682"/>
      <c r="C128" s="682"/>
      <c r="D128" s="682"/>
      <c r="E128" s="682"/>
      <c r="F128" s="682"/>
      <c r="G128" s="682"/>
      <c r="H128" s="682"/>
      <c r="I128" s="682"/>
      <c r="J128" s="682"/>
      <c r="K128" s="682"/>
      <c r="L128" s="682"/>
      <c r="M128" s="682"/>
      <c r="N128" s="682"/>
      <c r="O128" s="682"/>
    </row>
    <row r="129" spans="1:15">
      <c r="A129" s="682"/>
      <c r="B129" s="682"/>
      <c r="C129" s="682"/>
      <c r="D129" s="682"/>
      <c r="E129" s="682"/>
      <c r="F129" s="682"/>
      <c r="G129" s="682"/>
      <c r="H129" s="682"/>
      <c r="I129" s="682"/>
      <c r="J129" s="682"/>
      <c r="K129" s="682"/>
      <c r="L129" s="682"/>
      <c r="M129" s="682"/>
      <c r="N129" s="682"/>
      <c r="O129" s="682"/>
    </row>
    <row r="130" spans="1:15">
      <c r="A130" s="682"/>
      <c r="B130" s="682"/>
      <c r="C130" s="682"/>
      <c r="D130" s="682"/>
      <c r="E130" s="682"/>
      <c r="F130" s="682"/>
      <c r="G130" s="682"/>
      <c r="H130" s="682"/>
      <c r="I130" s="682"/>
      <c r="J130" s="682"/>
      <c r="K130" s="682"/>
      <c r="L130" s="682"/>
      <c r="M130" s="682"/>
      <c r="N130" s="682"/>
      <c r="O130" s="682"/>
    </row>
    <row r="131" spans="1:15">
      <c r="A131" s="682"/>
      <c r="B131" s="682"/>
      <c r="C131" s="682"/>
      <c r="D131" s="682"/>
      <c r="E131" s="682"/>
      <c r="F131" s="682"/>
      <c r="G131" s="682"/>
      <c r="H131" s="682"/>
      <c r="I131" s="682"/>
      <c r="J131" s="682"/>
      <c r="K131" s="682"/>
      <c r="L131" s="682"/>
      <c r="M131" s="682"/>
      <c r="N131" s="682"/>
      <c r="O131" s="682"/>
    </row>
    <row r="132" spans="1:15">
      <c r="A132" s="682"/>
      <c r="B132" s="682"/>
      <c r="C132" s="682"/>
      <c r="D132" s="682"/>
      <c r="E132" s="682"/>
      <c r="F132" s="682"/>
      <c r="G132" s="682"/>
      <c r="H132" s="682"/>
      <c r="I132" s="682"/>
      <c r="J132" s="682"/>
      <c r="K132" s="682"/>
      <c r="L132" s="682"/>
      <c r="M132" s="682"/>
      <c r="N132" s="682"/>
      <c r="O132" s="682"/>
    </row>
    <row r="133" spans="1:15">
      <c r="A133" s="682"/>
      <c r="B133" s="682"/>
      <c r="C133" s="682"/>
      <c r="D133" s="682"/>
      <c r="E133" s="682"/>
      <c r="F133" s="682"/>
      <c r="G133" s="682"/>
      <c r="H133" s="682"/>
      <c r="I133" s="682"/>
      <c r="J133" s="682"/>
      <c r="K133" s="682"/>
      <c r="L133" s="682"/>
      <c r="M133" s="682"/>
      <c r="N133" s="682"/>
      <c r="O133" s="682"/>
    </row>
    <row r="134" spans="1:15">
      <c r="A134" s="682"/>
      <c r="B134" s="682"/>
      <c r="C134" s="682"/>
      <c r="D134" s="682"/>
      <c r="E134" s="682"/>
      <c r="F134" s="682"/>
      <c r="G134" s="682"/>
      <c r="H134" s="682"/>
      <c r="I134" s="682"/>
      <c r="J134" s="682"/>
      <c r="K134" s="682"/>
      <c r="L134" s="682"/>
      <c r="M134" s="682"/>
      <c r="N134" s="682"/>
      <c r="O134" s="682"/>
    </row>
    <row r="135" spans="1:15">
      <c r="A135" s="682"/>
      <c r="B135" s="682"/>
      <c r="C135" s="682"/>
      <c r="D135" s="682"/>
      <c r="E135" s="682"/>
      <c r="F135" s="682"/>
      <c r="G135" s="682"/>
      <c r="H135" s="682"/>
      <c r="I135" s="682"/>
      <c r="J135" s="682"/>
      <c r="K135" s="682"/>
      <c r="L135" s="682"/>
      <c r="M135" s="682"/>
      <c r="N135" s="682"/>
      <c r="O135" s="682"/>
    </row>
    <row r="136" spans="1:15">
      <c r="A136" s="682"/>
      <c r="B136" s="682"/>
      <c r="C136" s="682"/>
      <c r="D136" s="682"/>
      <c r="E136" s="682"/>
      <c r="F136" s="682"/>
      <c r="G136" s="682"/>
      <c r="H136" s="682"/>
      <c r="I136" s="682"/>
      <c r="J136" s="682"/>
      <c r="K136" s="682"/>
      <c r="L136" s="682"/>
      <c r="M136" s="682"/>
      <c r="N136" s="682"/>
      <c r="O136" s="682"/>
    </row>
    <row r="137" spans="1:15">
      <c r="A137" s="682"/>
      <c r="B137" s="682"/>
      <c r="C137" s="682"/>
      <c r="D137" s="682"/>
      <c r="E137" s="682"/>
      <c r="F137" s="682"/>
      <c r="G137" s="682"/>
      <c r="H137" s="682"/>
      <c r="I137" s="682"/>
      <c r="J137" s="682"/>
      <c r="K137" s="682"/>
      <c r="L137" s="682"/>
      <c r="M137" s="682"/>
      <c r="N137" s="682"/>
      <c r="O137" s="682"/>
    </row>
    <row r="138" spans="1:15">
      <c r="A138" s="682"/>
      <c r="B138" s="682"/>
      <c r="C138" s="682"/>
      <c r="D138" s="682"/>
      <c r="E138" s="682"/>
      <c r="F138" s="682"/>
      <c r="G138" s="682"/>
      <c r="H138" s="682"/>
      <c r="I138" s="682"/>
      <c r="J138" s="682"/>
      <c r="K138" s="682"/>
      <c r="L138" s="682"/>
      <c r="M138" s="682"/>
      <c r="N138" s="682"/>
      <c r="O138" s="682"/>
    </row>
    <row r="139" spans="1:15">
      <c r="A139" s="682"/>
      <c r="B139" s="682"/>
      <c r="C139" s="682"/>
      <c r="D139" s="682"/>
      <c r="E139" s="682"/>
      <c r="F139" s="682"/>
      <c r="G139" s="682"/>
      <c r="H139" s="682"/>
      <c r="I139" s="682"/>
      <c r="J139" s="682"/>
      <c r="K139" s="682"/>
      <c r="L139" s="682"/>
      <c r="M139" s="682"/>
      <c r="N139" s="682"/>
      <c r="O139" s="682"/>
    </row>
    <row r="140" spans="1:15">
      <c r="A140" s="682"/>
      <c r="B140" s="682"/>
      <c r="C140" s="682"/>
      <c r="D140" s="682"/>
      <c r="E140" s="682"/>
      <c r="F140" s="682"/>
      <c r="G140" s="682"/>
      <c r="H140" s="682"/>
      <c r="I140" s="682"/>
      <c r="J140" s="682"/>
      <c r="K140" s="682"/>
      <c r="L140" s="682"/>
      <c r="M140" s="682"/>
      <c r="N140" s="682"/>
      <c r="O140" s="682"/>
    </row>
    <row r="141" spans="1:15">
      <c r="A141" s="682"/>
      <c r="B141" s="682"/>
      <c r="C141" s="682"/>
      <c r="D141" s="682"/>
      <c r="E141" s="682"/>
      <c r="F141" s="682"/>
      <c r="G141" s="682"/>
      <c r="H141" s="682"/>
      <c r="I141" s="682"/>
      <c r="J141" s="682"/>
      <c r="K141" s="682"/>
      <c r="L141" s="682"/>
      <c r="M141" s="682"/>
      <c r="N141" s="682"/>
      <c r="O141" s="682"/>
    </row>
    <row r="142" spans="1:15">
      <c r="A142" s="682"/>
      <c r="B142" s="682"/>
      <c r="C142" s="682"/>
      <c r="D142" s="682"/>
      <c r="E142" s="682"/>
      <c r="F142" s="682"/>
      <c r="G142" s="682"/>
      <c r="H142" s="682"/>
      <c r="I142" s="682"/>
      <c r="J142" s="682"/>
      <c r="K142" s="682"/>
      <c r="L142" s="682"/>
      <c r="M142" s="682"/>
      <c r="N142" s="682"/>
      <c r="O142" s="682"/>
    </row>
    <row r="143" spans="1:15">
      <c r="A143" s="682"/>
      <c r="B143" s="682"/>
      <c r="C143" s="682"/>
      <c r="D143" s="682"/>
      <c r="E143" s="682"/>
      <c r="F143" s="682"/>
      <c r="G143" s="682"/>
      <c r="H143" s="682"/>
      <c r="I143" s="682"/>
      <c r="J143" s="682"/>
      <c r="K143" s="682"/>
      <c r="L143" s="682"/>
      <c r="M143" s="682"/>
      <c r="N143" s="682"/>
      <c r="O143" s="682"/>
    </row>
    <row r="144" spans="1:15">
      <c r="A144" s="682"/>
      <c r="B144" s="682"/>
      <c r="C144" s="682"/>
      <c r="D144" s="682"/>
      <c r="E144" s="682"/>
      <c r="F144" s="682"/>
      <c r="G144" s="682"/>
      <c r="H144" s="682"/>
      <c r="I144" s="682"/>
      <c r="J144" s="682"/>
      <c r="K144" s="682"/>
      <c r="L144" s="682"/>
      <c r="M144" s="682"/>
      <c r="N144" s="682"/>
      <c r="O144" s="682"/>
    </row>
    <row r="145" spans="1:15">
      <c r="A145" s="682"/>
      <c r="B145" s="682"/>
      <c r="C145" s="682"/>
      <c r="D145" s="682"/>
      <c r="E145" s="682"/>
      <c r="F145" s="682"/>
      <c r="G145" s="682"/>
      <c r="H145" s="682"/>
      <c r="I145" s="682"/>
      <c r="J145" s="682"/>
      <c r="K145" s="682"/>
      <c r="L145" s="682"/>
      <c r="M145" s="682"/>
      <c r="N145" s="682"/>
      <c r="O145" s="682"/>
    </row>
    <row r="146" spans="1:15">
      <c r="A146" s="682"/>
      <c r="B146" s="682"/>
      <c r="C146" s="682"/>
      <c r="D146" s="682"/>
      <c r="E146" s="682"/>
      <c r="F146" s="682"/>
      <c r="G146" s="682"/>
      <c r="H146" s="682"/>
      <c r="I146" s="682"/>
      <c r="J146" s="682"/>
      <c r="K146" s="682"/>
      <c r="L146" s="682"/>
      <c r="M146" s="682"/>
      <c r="N146" s="682"/>
      <c r="O146" s="682"/>
    </row>
    <row r="147" spans="1:15">
      <c r="A147" s="682"/>
      <c r="B147" s="682"/>
      <c r="C147" s="682"/>
      <c r="D147" s="682"/>
      <c r="E147" s="682"/>
      <c r="F147" s="682"/>
      <c r="G147" s="682"/>
      <c r="H147" s="682"/>
      <c r="I147" s="682"/>
      <c r="J147" s="682"/>
      <c r="K147" s="682"/>
      <c r="L147" s="682"/>
      <c r="M147" s="682"/>
      <c r="N147" s="682"/>
      <c r="O147" s="682"/>
    </row>
    <row r="148" spans="1:15">
      <c r="A148" s="682"/>
      <c r="B148" s="682"/>
      <c r="C148" s="682"/>
      <c r="D148" s="682"/>
      <c r="E148" s="682"/>
      <c r="F148" s="682"/>
      <c r="G148" s="682"/>
      <c r="H148" s="682"/>
      <c r="I148" s="682"/>
      <c r="J148" s="682"/>
      <c r="K148" s="682"/>
      <c r="L148" s="682"/>
      <c r="M148" s="682"/>
      <c r="N148" s="682"/>
      <c r="O148" s="682"/>
    </row>
    <row r="149" spans="1:15">
      <c r="A149" s="682"/>
      <c r="B149" s="682"/>
      <c r="C149" s="682"/>
      <c r="D149" s="682"/>
      <c r="E149" s="682"/>
      <c r="F149" s="682"/>
      <c r="G149" s="682"/>
      <c r="H149" s="682"/>
      <c r="I149" s="682"/>
      <c r="J149" s="682"/>
      <c r="K149" s="682"/>
      <c r="L149" s="682"/>
      <c r="M149" s="682"/>
      <c r="N149" s="682"/>
      <c r="O149" s="682"/>
    </row>
    <row r="150" spans="1:15">
      <c r="A150" s="682"/>
      <c r="B150" s="682"/>
      <c r="C150" s="682"/>
      <c r="D150" s="682"/>
      <c r="E150" s="682"/>
      <c r="F150" s="682"/>
      <c r="G150" s="682"/>
      <c r="H150" s="682"/>
      <c r="I150" s="682"/>
      <c r="J150" s="682"/>
      <c r="K150" s="682"/>
      <c r="L150" s="682"/>
      <c r="M150" s="682"/>
      <c r="N150" s="682"/>
      <c r="O150" s="682"/>
    </row>
    <row r="151" spans="1:15">
      <c r="A151" s="682"/>
      <c r="B151" s="682"/>
      <c r="C151" s="682"/>
      <c r="D151" s="682"/>
      <c r="E151" s="682"/>
      <c r="F151" s="682"/>
      <c r="G151" s="682"/>
      <c r="H151" s="682"/>
      <c r="I151" s="682"/>
      <c r="J151" s="682"/>
      <c r="K151" s="682"/>
      <c r="L151" s="682"/>
      <c r="M151" s="682"/>
      <c r="N151" s="682"/>
      <c r="O151" s="682"/>
    </row>
    <row r="152" spans="1:15">
      <c r="A152" s="682"/>
      <c r="B152" s="682"/>
      <c r="C152" s="682"/>
      <c r="D152" s="682"/>
      <c r="E152" s="682"/>
      <c r="F152" s="682"/>
      <c r="G152" s="682"/>
      <c r="H152" s="682"/>
      <c r="I152" s="682"/>
      <c r="J152" s="682"/>
      <c r="K152" s="682"/>
      <c r="L152" s="682"/>
      <c r="M152" s="682"/>
      <c r="N152" s="682"/>
      <c r="O152" s="682"/>
    </row>
    <row r="153" spans="1:15">
      <c r="A153" s="682"/>
      <c r="B153" s="682"/>
      <c r="C153" s="682"/>
      <c r="D153" s="682"/>
      <c r="E153" s="682"/>
      <c r="F153" s="682"/>
      <c r="G153" s="682"/>
      <c r="H153" s="682"/>
      <c r="I153" s="682"/>
      <c r="J153" s="682"/>
      <c r="K153" s="682"/>
      <c r="L153" s="682"/>
      <c r="M153" s="682"/>
      <c r="N153" s="682"/>
      <c r="O153" s="682"/>
    </row>
    <row r="154" spans="1:15">
      <c r="A154" s="682"/>
      <c r="B154" s="682"/>
      <c r="C154" s="682"/>
      <c r="D154" s="682"/>
      <c r="E154" s="682"/>
      <c r="F154" s="682"/>
      <c r="G154" s="682"/>
      <c r="H154" s="682"/>
      <c r="I154" s="682"/>
      <c r="J154" s="682"/>
      <c r="K154" s="682"/>
      <c r="L154" s="682"/>
      <c r="M154" s="682"/>
      <c r="N154" s="682"/>
      <c r="O154" s="682"/>
    </row>
    <row r="155" spans="1:15">
      <c r="A155" s="682"/>
      <c r="B155" s="682"/>
      <c r="C155" s="682"/>
      <c r="D155" s="682"/>
      <c r="E155" s="682"/>
      <c r="F155" s="682"/>
      <c r="G155" s="682"/>
      <c r="H155" s="682"/>
      <c r="I155" s="682"/>
      <c r="J155" s="682"/>
      <c r="K155" s="682"/>
      <c r="L155" s="682"/>
      <c r="M155" s="682"/>
      <c r="N155" s="682"/>
      <c r="O155" s="682"/>
    </row>
    <row r="156" spans="1:15">
      <c r="A156" s="682"/>
      <c r="B156" s="682"/>
      <c r="C156" s="682"/>
      <c r="D156" s="682"/>
      <c r="E156" s="682"/>
      <c r="F156" s="682"/>
      <c r="G156" s="682"/>
      <c r="H156" s="682"/>
      <c r="I156" s="682"/>
      <c r="J156" s="682"/>
      <c r="K156" s="682"/>
      <c r="L156" s="682"/>
      <c r="M156" s="682"/>
      <c r="N156" s="682"/>
      <c r="O156" s="682"/>
    </row>
    <row r="157" spans="1:15">
      <c r="A157" s="682"/>
      <c r="B157" s="682"/>
      <c r="C157" s="682"/>
      <c r="D157" s="682"/>
      <c r="E157" s="682"/>
      <c r="F157" s="682"/>
      <c r="G157" s="682"/>
      <c r="H157" s="682"/>
      <c r="I157" s="682"/>
      <c r="J157" s="682"/>
      <c r="K157" s="682"/>
      <c r="L157" s="682"/>
      <c r="M157" s="682"/>
      <c r="N157" s="682"/>
      <c r="O157" s="682"/>
    </row>
    <row r="158" spans="1:15">
      <c r="A158" s="682"/>
      <c r="B158" s="682"/>
      <c r="C158" s="682"/>
      <c r="D158" s="682"/>
      <c r="E158" s="682"/>
      <c r="F158" s="682"/>
      <c r="G158" s="682"/>
      <c r="H158" s="682"/>
      <c r="I158" s="682"/>
      <c r="J158" s="682"/>
      <c r="K158" s="682"/>
      <c r="L158" s="682"/>
      <c r="M158" s="682"/>
      <c r="N158" s="682"/>
      <c r="O158" s="682"/>
    </row>
    <row r="159" spans="1:15">
      <c r="A159" s="682"/>
      <c r="B159" s="682"/>
      <c r="C159" s="682"/>
      <c r="D159" s="682"/>
      <c r="E159" s="682"/>
      <c r="F159" s="682"/>
      <c r="G159" s="682"/>
      <c r="H159" s="682"/>
      <c r="I159" s="682"/>
      <c r="J159" s="682"/>
      <c r="K159" s="682"/>
      <c r="L159" s="682"/>
      <c r="M159" s="682"/>
      <c r="N159" s="682"/>
      <c r="O159" s="682"/>
    </row>
    <row r="160" spans="1:15">
      <c r="A160" s="682"/>
      <c r="B160" s="682"/>
      <c r="C160" s="682"/>
      <c r="D160" s="682"/>
      <c r="E160" s="682"/>
      <c r="F160" s="682"/>
      <c r="G160" s="682"/>
      <c r="H160" s="682"/>
      <c r="I160" s="682"/>
      <c r="J160" s="682"/>
      <c r="K160" s="682"/>
      <c r="L160" s="682"/>
      <c r="M160" s="682"/>
      <c r="N160" s="682"/>
      <c r="O160" s="682"/>
    </row>
    <row r="161" spans="1:15">
      <c r="A161" s="682"/>
      <c r="B161" s="682"/>
      <c r="C161" s="682"/>
      <c r="D161" s="682"/>
      <c r="E161" s="682"/>
      <c r="F161" s="682"/>
      <c r="G161" s="682"/>
      <c r="H161" s="682"/>
      <c r="I161" s="682"/>
      <c r="J161" s="682"/>
      <c r="K161" s="682"/>
      <c r="L161" s="682"/>
      <c r="M161" s="682"/>
      <c r="N161" s="682"/>
      <c r="O161" s="682"/>
    </row>
    <row r="162" spans="1:15">
      <c r="A162" s="682"/>
      <c r="B162" s="682"/>
      <c r="C162" s="682"/>
      <c r="D162" s="682"/>
      <c r="E162" s="682"/>
      <c r="F162" s="682"/>
      <c r="G162" s="682"/>
      <c r="H162" s="682"/>
      <c r="I162" s="682"/>
      <c r="J162" s="682"/>
      <c r="K162" s="682"/>
      <c r="L162" s="682"/>
      <c r="M162" s="682"/>
      <c r="N162" s="682"/>
      <c r="O162" s="682"/>
    </row>
    <row r="163" spans="1:15">
      <c r="A163" s="682"/>
      <c r="B163" s="682"/>
      <c r="C163" s="682"/>
      <c r="D163" s="682"/>
      <c r="E163" s="682"/>
      <c r="F163" s="682"/>
      <c r="G163" s="682"/>
      <c r="H163" s="682"/>
      <c r="I163" s="682"/>
      <c r="J163" s="682"/>
      <c r="K163" s="682"/>
      <c r="L163" s="682"/>
      <c r="M163" s="682"/>
      <c r="N163" s="682"/>
      <c r="O163" s="682"/>
    </row>
    <row r="164" spans="1:15">
      <c r="A164" s="682"/>
      <c r="B164" s="682"/>
      <c r="C164" s="682"/>
      <c r="D164" s="682"/>
      <c r="E164" s="682"/>
      <c r="F164" s="682"/>
      <c r="G164" s="682"/>
      <c r="H164" s="682"/>
      <c r="I164" s="682"/>
      <c r="J164" s="682"/>
      <c r="K164" s="682"/>
      <c r="L164" s="682"/>
      <c r="M164" s="682"/>
      <c r="N164" s="682"/>
      <c r="O164" s="682"/>
    </row>
    <row r="165" spans="1:15">
      <c r="A165" s="682"/>
      <c r="B165" s="682"/>
      <c r="C165" s="682"/>
      <c r="D165" s="682"/>
      <c r="E165" s="682"/>
      <c r="F165" s="682"/>
      <c r="G165" s="682"/>
      <c r="H165" s="682"/>
      <c r="I165" s="682"/>
      <c r="J165" s="682"/>
      <c r="K165" s="682"/>
      <c r="L165" s="682"/>
      <c r="M165" s="682"/>
      <c r="N165" s="682"/>
      <c r="O165" s="682"/>
    </row>
    <row r="166" spans="1:15">
      <c r="A166" s="682"/>
      <c r="B166" s="682"/>
      <c r="C166" s="682"/>
      <c r="D166" s="682"/>
      <c r="E166" s="682"/>
      <c r="F166" s="682"/>
      <c r="G166" s="682"/>
      <c r="H166" s="682"/>
      <c r="I166" s="682"/>
      <c r="J166" s="682"/>
      <c r="K166" s="682"/>
      <c r="L166" s="682"/>
      <c r="M166" s="682"/>
      <c r="N166" s="682"/>
      <c r="O166" s="682"/>
    </row>
    <row r="167" spans="1:15">
      <c r="A167" s="682"/>
      <c r="B167" s="682"/>
      <c r="C167" s="682"/>
      <c r="D167" s="682"/>
      <c r="E167" s="682"/>
      <c r="F167" s="682"/>
      <c r="G167" s="682"/>
      <c r="H167" s="682"/>
      <c r="I167" s="682"/>
      <c r="J167" s="682"/>
      <c r="K167" s="682"/>
      <c r="L167" s="682"/>
      <c r="M167" s="682"/>
      <c r="N167" s="682"/>
      <c r="O167" s="682"/>
    </row>
    <row r="168" spans="1:15">
      <c r="A168" s="682"/>
      <c r="B168" s="682"/>
      <c r="C168" s="682"/>
      <c r="D168" s="682"/>
      <c r="E168" s="682"/>
      <c r="F168" s="682"/>
      <c r="G168" s="682"/>
      <c r="H168" s="682"/>
      <c r="I168" s="682"/>
      <c r="J168" s="682"/>
      <c r="K168" s="682"/>
      <c r="L168" s="682"/>
      <c r="M168" s="682"/>
      <c r="N168" s="682"/>
      <c r="O168" s="682"/>
    </row>
    <row r="169" spans="1:15">
      <c r="A169" s="682"/>
      <c r="B169" s="682"/>
      <c r="C169" s="682"/>
      <c r="D169" s="682"/>
      <c r="E169" s="682"/>
      <c r="F169" s="682"/>
      <c r="G169" s="682"/>
      <c r="H169" s="682"/>
      <c r="I169" s="682"/>
      <c r="J169" s="682"/>
      <c r="K169" s="682"/>
      <c r="L169" s="682"/>
      <c r="M169" s="682"/>
      <c r="N169" s="682"/>
      <c r="O169" s="682"/>
    </row>
    <row r="170" spans="1:15">
      <c r="A170" s="682"/>
      <c r="B170" s="682"/>
      <c r="C170" s="682"/>
      <c r="D170" s="682"/>
      <c r="E170" s="682"/>
      <c r="F170" s="682"/>
      <c r="G170" s="682"/>
      <c r="H170" s="682"/>
      <c r="I170" s="682"/>
      <c r="J170" s="682"/>
      <c r="K170" s="682"/>
      <c r="L170" s="682"/>
      <c r="M170" s="682"/>
      <c r="N170" s="682"/>
      <c r="O170" s="682"/>
    </row>
    <row r="171" spans="1:15">
      <c r="A171" s="682"/>
      <c r="B171" s="682"/>
      <c r="C171" s="682"/>
      <c r="D171" s="682"/>
      <c r="E171" s="682"/>
      <c r="F171" s="682"/>
      <c r="G171" s="682"/>
      <c r="H171" s="682"/>
      <c r="I171" s="682"/>
      <c r="J171" s="682"/>
      <c r="K171" s="682"/>
      <c r="L171" s="682"/>
      <c r="M171" s="682"/>
      <c r="N171" s="682"/>
      <c r="O171" s="682"/>
    </row>
    <row r="172" spans="1:15">
      <c r="A172" s="682"/>
      <c r="B172" s="682"/>
      <c r="C172" s="682"/>
      <c r="D172" s="682"/>
      <c r="E172" s="682"/>
      <c r="F172" s="682"/>
      <c r="G172" s="682"/>
      <c r="H172" s="682"/>
      <c r="I172" s="682"/>
      <c r="J172" s="682"/>
      <c r="K172" s="682"/>
      <c r="L172" s="682"/>
      <c r="M172" s="682"/>
      <c r="N172" s="682"/>
      <c r="O172" s="682"/>
    </row>
    <row r="173" spans="1:15">
      <c r="A173" s="682"/>
      <c r="B173" s="682"/>
      <c r="C173" s="682"/>
      <c r="D173" s="682"/>
      <c r="E173" s="682"/>
      <c r="F173" s="682"/>
      <c r="G173" s="682"/>
      <c r="H173" s="682"/>
      <c r="I173" s="682"/>
      <c r="J173" s="682"/>
      <c r="K173" s="682"/>
      <c r="L173" s="682"/>
      <c r="M173" s="682"/>
      <c r="N173" s="682"/>
      <c r="O173" s="682"/>
    </row>
    <row r="174" spans="1:15">
      <c r="A174" s="682"/>
      <c r="B174" s="682"/>
      <c r="C174" s="682"/>
      <c r="D174" s="682"/>
      <c r="E174" s="682"/>
      <c r="F174" s="682"/>
      <c r="G174" s="682"/>
      <c r="H174" s="682"/>
      <c r="I174" s="682"/>
      <c r="J174" s="682"/>
      <c r="K174" s="682"/>
      <c r="L174" s="682"/>
      <c r="M174" s="682"/>
      <c r="N174" s="682"/>
      <c r="O174" s="682"/>
    </row>
    <row r="175" spans="1:15">
      <c r="A175" s="682"/>
      <c r="B175" s="682"/>
      <c r="C175" s="682"/>
      <c r="D175" s="682"/>
      <c r="E175" s="682"/>
      <c r="F175" s="682"/>
      <c r="G175" s="682"/>
      <c r="H175" s="682"/>
      <c r="I175" s="682"/>
      <c r="J175" s="682"/>
      <c r="K175" s="682"/>
      <c r="L175" s="682"/>
      <c r="M175" s="682"/>
      <c r="N175" s="682"/>
      <c r="O175" s="682"/>
    </row>
    <row r="176" spans="1:15">
      <c r="A176" s="682"/>
      <c r="B176" s="682"/>
      <c r="C176" s="682"/>
      <c r="D176" s="682"/>
      <c r="E176" s="682"/>
      <c r="F176" s="682"/>
      <c r="G176" s="682"/>
      <c r="H176" s="682"/>
      <c r="I176" s="682"/>
      <c r="J176" s="682"/>
      <c r="K176" s="682"/>
      <c r="L176" s="682"/>
      <c r="M176" s="682"/>
      <c r="N176" s="682"/>
      <c r="O176" s="682"/>
    </row>
    <row r="177" spans="1:15">
      <c r="A177" s="682"/>
      <c r="B177" s="682"/>
      <c r="C177" s="682"/>
      <c r="D177" s="682"/>
      <c r="E177" s="682"/>
      <c r="F177" s="682"/>
      <c r="G177" s="682"/>
      <c r="H177" s="682"/>
      <c r="I177" s="682"/>
      <c r="J177" s="682"/>
      <c r="K177" s="682"/>
      <c r="L177" s="682"/>
      <c r="M177" s="682"/>
      <c r="N177" s="682"/>
      <c r="O177" s="682"/>
    </row>
    <row r="178" spans="1:15">
      <c r="A178" s="682"/>
      <c r="B178" s="682"/>
      <c r="C178" s="682"/>
      <c r="D178" s="682"/>
      <c r="E178" s="682"/>
      <c r="F178" s="682"/>
      <c r="G178" s="682"/>
      <c r="H178" s="682"/>
      <c r="I178" s="682"/>
      <c r="J178" s="682"/>
      <c r="K178" s="682"/>
      <c r="L178" s="682"/>
      <c r="M178" s="682"/>
      <c r="N178" s="682"/>
      <c r="O178" s="682"/>
    </row>
    <row r="179" spans="1:15">
      <c r="A179" s="682"/>
      <c r="B179" s="682"/>
      <c r="C179" s="682"/>
      <c r="D179" s="682"/>
      <c r="E179" s="682"/>
      <c r="F179" s="682"/>
      <c r="G179" s="682"/>
      <c r="H179" s="682"/>
      <c r="I179" s="682"/>
      <c r="J179" s="682"/>
      <c r="K179" s="682"/>
      <c r="L179" s="682"/>
      <c r="M179" s="682"/>
      <c r="N179" s="682"/>
      <c r="O179" s="682"/>
    </row>
    <row r="180" spans="1:15">
      <c r="A180" s="682"/>
      <c r="B180" s="682"/>
      <c r="C180" s="682"/>
      <c r="D180" s="682"/>
      <c r="E180" s="682"/>
      <c r="F180" s="682"/>
      <c r="G180" s="682"/>
      <c r="H180" s="682"/>
      <c r="I180" s="682"/>
      <c r="J180" s="682"/>
      <c r="K180" s="682"/>
      <c r="L180" s="682"/>
      <c r="M180" s="682"/>
      <c r="N180" s="682"/>
      <c r="O180" s="682"/>
    </row>
    <row r="181" spans="1:15">
      <c r="A181" s="682"/>
      <c r="B181" s="682"/>
      <c r="C181" s="682"/>
      <c r="D181" s="682"/>
      <c r="E181" s="682"/>
      <c r="F181" s="682"/>
      <c r="G181" s="682"/>
      <c r="H181" s="682"/>
      <c r="I181" s="682"/>
      <c r="J181" s="682"/>
      <c r="K181" s="682"/>
      <c r="L181" s="682"/>
      <c r="M181" s="682"/>
      <c r="N181" s="682"/>
      <c r="O181" s="682"/>
    </row>
    <row r="182" spans="1:15">
      <c r="A182" s="682"/>
      <c r="B182" s="682"/>
      <c r="C182" s="682"/>
      <c r="D182" s="682"/>
      <c r="E182" s="682"/>
      <c r="F182" s="682"/>
      <c r="G182" s="682"/>
      <c r="H182" s="682"/>
      <c r="I182" s="682"/>
      <c r="J182" s="682"/>
      <c r="K182" s="682"/>
      <c r="L182" s="682"/>
      <c r="M182" s="682"/>
      <c r="N182" s="682"/>
      <c r="O182" s="682"/>
    </row>
    <row r="183" spans="1:15">
      <c r="A183" s="682"/>
      <c r="B183" s="682"/>
      <c r="C183" s="682"/>
      <c r="D183" s="682"/>
      <c r="E183" s="682"/>
      <c r="F183" s="682"/>
      <c r="G183" s="682"/>
      <c r="H183" s="682"/>
      <c r="I183" s="682"/>
      <c r="J183" s="682"/>
      <c r="K183" s="682"/>
      <c r="L183" s="682"/>
      <c r="M183" s="682"/>
      <c r="N183" s="682"/>
      <c r="O183" s="682"/>
    </row>
    <row r="184" spans="1:15">
      <c r="A184" s="682"/>
      <c r="B184" s="682"/>
      <c r="C184" s="682"/>
      <c r="D184" s="682"/>
      <c r="E184" s="682"/>
      <c r="F184" s="682"/>
      <c r="G184" s="682"/>
      <c r="H184" s="682"/>
      <c r="I184" s="682"/>
      <c r="J184" s="682"/>
      <c r="K184" s="682"/>
      <c r="L184" s="682"/>
      <c r="M184" s="682"/>
      <c r="N184" s="682"/>
      <c r="O184" s="682"/>
    </row>
    <row r="185" spans="1:15">
      <c r="A185" s="682"/>
      <c r="B185" s="682"/>
      <c r="C185" s="682"/>
      <c r="D185" s="682"/>
      <c r="E185" s="682"/>
      <c r="F185" s="682"/>
      <c r="G185" s="682"/>
      <c r="H185" s="682"/>
      <c r="I185" s="682"/>
      <c r="J185" s="682"/>
      <c r="K185" s="682"/>
      <c r="L185" s="682"/>
      <c r="M185" s="682"/>
      <c r="N185" s="682"/>
      <c r="O185" s="682"/>
    </row>
    <row r="186" spans="1:15">
      <c r="A186" s="682"/>
      <c r="B186" s="682"/>
      <c r="C186" s="682"/>
      <c r="D186" s="682"/>
      <c r="E186" s="682"/>
      <c r="F186" s="682"/>
      <c r="G186" s="682"/>
      <c r="H186" s="682"/>
      <c r="I186" s="682"/>
      <c r="J186" s="682"/>
      <c r="K186" s="682"/>
      <c r="L186" s="682"/>
      <c r="M186" s="682"/>
      <c r="N186" s="682"/>
      <c r="O186" s="682"/>
    </row>
    <row r="187" spans="1:15">
      <c r="A187" s="682"/>
      <c r="B187" s="682"/>
      <c r="C187" s="682"/>
      <c r="D187" s="682"/>
      <c r="E187" s="682"/>
      <c r="F187" s="682"/>
      <c r="G187" s="682"/>
      <c r="H187" s="682"/>
      <c r="I187" s="682"/>
      <c r="J187" s="682"/>
      <c r="K187" s="682"/>
      <c r="L187" s="682"/>
      <c r="M187" s="682"/>
      <c r="N187" s="682"/>
      <c r="O187" s="682"/>
    </row>
    <row r="188" spans="1:15">
      <c r="A188" s="682"/>
      <c r="B188" s="682"/>
      <c r="C188" s="682"/>
      <c r="D188" s="682"/>
      <c r="E188" s="682"/>
      <c r="F188" s="682"/>
      <c r="G188" s="682"/>
      <c r="H188" s="682"/>
      <c r="I188" s="682"/>
      <c r="J188" s="682"/>
      <c r="K188" s="682"/>
      <c r="L188" s="682"/>
      <c r="M188" s="682"/>
      <c r="N188" s="682"/>
      <c r="O188" s="682"/>
    </row>
    <row r="189" spans="1:15">
      <c r="A189" s="682"/>
      <c r="B189" s="682"/>
      <c r="C189" s="682"/>
      <c r="D189" s="682"/>
      <c r="E189" s="682"/>
      <c r="F189" s="682"/>
      <c r="G189" s="682"/>
      <c r="H189" s="682"/>
      <c r="I189" s="682"/>
      <c r="J189" s="682"/>
      <c r="K189" s="682"/>
      <c r="L189" s="682"/>
      <c r="M189" s="682"/>
      <c r="N189" s="682"/>
      <c r="O189" s="682"/>
    </row>
    <row r="190" spans="1:15">
      <c r="A190" s="682"/>
      <c r="B190" s="682"/>
      <c r="C190" s="682"/>
      <c r="D190" s="682"/>
      <c r="E190" s="682"/>
      <c r="F190" s="682"/>
      <c r="G190" s="682"/>
      <c r="H190" s="682"/>
      <c r="I190" s="682"/>
      <c r="J190" s="682"/>
      <c r="K190" s="682"/>
      <c r="L190" s="682"/>
      <c r="M190" s="682"/>
      <c r="N190" s="682"/>
      <c r="O190" s="682"/>
    </row>
    <row r="191" spans="1:15">
      <c r="A191" s="682"/>
      <c r="B191" s="682"/>
      <c r="C191" s="682"/>
      <c r="D191" s="682"/>
      <c r="E191" s="682"/>
      <c r="F191" s="682"/>
      <c r="G191" s="682"/>
      <c r="H191" s="682"/>
      <c r="I191" s="682"/>
      <c r="J191" s="682"/>
      <c r="K191" s="682"/>
      <c r="L191" s="682"/>
      <c r="M191" s="682"/>
      <c r="N191" s="682"/>
      <c r="O191" s="682"/>
    </row>
    <row r="192" spans="1:15">
      <c r="A192" s="682"/>
      <c r="B192" s="682"/>
      <c r="C192" s="682"/>
      <c r="D192" s="682"/>
      <c r="E192" s="682"/>
      <c r="F192" s="682"/>
      <c r="G192" s="682"/>
      <c r="H192" s="682"/>
      <c r="I192" s="682"/>
      <c r="J192" s="682"/>
      <c r="K192" s="682"/>
      <c r="L192" s="682"/>
      <c r="M192" s="682"/>
      <c r="N192" s="682"/>
      <c r="O192" s="682"/>
    </row>
    <row r="193" spans="1:15">
      <c r="A193" s="682"/>
      <c r="B193" s="682"/>
      <c r="C193" s="682"/>
      <c r="D193" s="682"/>
      <c r="E193" s="682"/>
      <c r="F193" s="682"/>
      <c r="G193" s="682"/>
      <c r="H193" s="682"/>
      <c r="I193" s="682"/>
      <c r="J193" s="682"/>
      <c r="K193" s="682"/>
      <c r="L193" s="682"/>
      <c r="M193" s="682"/>
      <c r="N193" s="682"/>
      <c r="O193" s="682"/>
    </row>
    <row r="194" spans="1:15">
      <c r="A194" s="682"/>
      <c r="B194" s="682"/>
      <c r="C194" s="682"/>
      <c r="D194" s="682"/>
      <c r="E194" s="682"/>
      <c r="F194" s="682"/>
      <c r="G194" s="682"/>
      <c r="H194" s="682"/>
      <c r="I194" s="682"/>
      <c r="J194" s="682"/>
      <c r="K194" s="682"/>
      <c r="L194" s="682"/>
      <c r="M194" s="682"/>
      <c r="N194" s="682"/>
      <c r="O194" s="682"/>
    </row>
    <row r="195" spans="1:15">
      <c r="A195" s="682"/>
      <c r="B195" s="682"/>
      <c r="C195" s="682"/>
      <c r="D195" s="682"/>
      <c r="E195" s="682"/>
      <c r="F195" s="682"/>
      <c r="G195" s="682"/>
      <c r="H195" s="682"/>
      <c r="I195" s="682"/>
      <c r="J195" s="682"/>
      <c r="K195" s="682"/>
      <c r="L195" s="682"/>
      <c r="M195" s="682"/>
      <c r="N195" s="682"/>
      <c r="O195" s="682"/>
    </row>
    <row r="196" spans="1:15">
      <c r="A196" s="682"/>
      <c r="B196" s="682"/>
      <c r="C196" s="682"/>
      <c r="D196" s="682"/>
      <c r="E196" s="682"/>
      <c r="F196" s="682"/>
      <c r="G196" s="682"/>
      <c r="H196" s="682"/>
      <c r="I196" s="682"/>
      <c r="J196" s="682"/>
      <c r="K196" s="682"/>
      <c r="L196" s="682"/>
      <c r="M196" s="682"/>
      <c r="N196" s="682"/>
      <c r="O196" s="682"/>
    </row>
    <row r="197" spans="1:15">
      <c r="A197" s="682"/>
      <c r="B197" s="682"/>
      <c r="C197" s="682"/>
      <c r="D197" s="682"/>
      <c r="E197" s="682"/>
      <c r="F197" s="682"/>
      <c r="G197" s="682"/>
      <c r="H197" s="682"/>
      <c r="I197" s="682"/>
      <c r="J197" s="682"/>
      <c r="K197" s="682"/>
      <c r="L197" s="682"/>
      <c r="M197" s="682"/>
      <c r="N197" s="682"/>
      <c r="O197" s="682"/>
    </row>
    <row r="198" spans="1:15">
      <c r="A198" s="682"/>
      <c r="B198" s="682"/>
      <c r="C198" s="682"/>
      <c r="D198" s="682"/>
      <c r="E198" s="682"/>
      <c r="F198" s="682"/>
      <c r="G198" s="682"/>
      <c r="H198" s="682"/>
      <c r="I198" s="682"/>
      <c r="J198" s="682"/>
      <c r="K198" s="682"/>
      <c r="L198" s="682"/>
      <c r="M198" s="682"/>
      <c r="N198" s="682"/>
      <c r="O198" s="682"/>
    </row>
    <row r="199" spans="1:15">
      <c r="A199" s="682"/>
      <c r="B199" s="682"/>
      <c r="C199" s="682"/>
      <c r="D199" s="682"/>
      <c r="E199" s="682"/>
      <c r="F199" s="682"/>
      <c r="G199" s="682"/>
      <c r="H199" s="682"/>
      <c r="I199" s="682"/>
      <c r="J199" s="682"/>
      <c r="K199" s="682"/>
      <c r="L199" s="682"/>
      <c r="M199" s="682"/>
      <c r="N199" s="682"/>
      <c r="O199" s="682"/>
    </row>
    <row r="200" spans="1:15">
      <c r="A200" s="682"/>
      <c r="B200" s="682"/>
      <c r="C200" s="682"/>
      <c r="D200" s="682"/>
      <c r="E200" s="682"/>
      <c r="F200" s="682"/>
      <c r="G200" s="682"/>
      <c r="H200" s="682"/>
      <c r="I200" s="682"/>
      <c r="J200" s="682"/>
      <c r="K200" s="682"/>
      <c r="L200" s="682"/>
      <c r="M200" s="682"/>
      <c r="N200" s="682"/>
      <c r="O200" s="682"/>
    </row>
    <row r="201" spans="1:15">
      <c r="A201" s="682"/>
      <c r="B201" s="682"/>
      <c r="C201" s="682"/>
      <c r="D201" s="682"/>
      <c r="E201" s="682"/>
      <c r="F201" s="682"/>
      <c r="G201" s="682"/>
      <c r="H201" s="682"/>
      <c r="I201" s="682"/>
      <c r="J201" s="682"/>
      <c r="K201" s="682"/>
      <c r="L201" s="682"/>
      <c r="M201" s="682"/>
      <c r="N201" s="682"/>
      <c r="O201" s="682"/>
    </row>
    <row r="202" spans="1:15">
      <c r="A202" s="682"/>
      <c r="B202" s="682"/>
      <c r="C202" s="682"/>
      <c r="D202" s="682"/>
      <c r="E202" s="682"/>
      <c r="F202" s="682"/>
      <c r="G202" s="682"/>
      <c r="H202" s="682"/>
      <c r="I202" s="682"/>
      <c r="J202" s="682"/>
      <c r="K202" s="682"/>
      <c r="L202" s="682"/>
      <c r="M202" s="682"/>
      <c r="N202" s="682"/>
      <c r="O202" s="682"/>
    </row>
    <row r="203" spans="1:15">
      <c r="A203" s="682"/>
      <c r="B203" s="682"/>
      <c r="C203" s="682"/>
      <c r="D203" s="682"/>
      <c r="E203" s="682"/>
      <c r="F203" s="682"/>
      <c r="G203" s="682"/>
      <c r="H203" s="682"/>
      <c r="I203" s="682"/>
      <c r="J203" s="682"/>
      <c r="K203" s="682"/>
      <c r="L203" s="682"/>
      <c r="M203" s="682"/>
      <c r="N203" s="682"/>
      <c r="O203" s="682"/>
    </row>
    <row r="204" spans="1:15">
      <c r="A204" s="682"/>
      <c r="B204" s="682"/>
      <c r="C204" s="682"/>
      <c r="D204" s="682"/>
      <c r="E204" s="682"/>
      <c r="F204" s="682"/>
      <c r="G204" s="682"/>
      <c r="H204" s="682"/>
      <c r="I204" s="682"/>
      <c r="J204" s="682"/>
      <c r="K204" s="682"/>
      <c r="L204" s="682"/>
      <c r="M204" s="682"/>
      <c r="N204" s="682"/>
      <c r="O204" s="682"/>
    </row>
    <row r="205" spans="1:15">
      <c r="A205" s="682"/>
      <c r="B205" s="682"/>
      <c r="C205" s="682"/>
      <c r="D205" s="682"/>
      <c r="E205" s="682"/>
      <c r="F205" s="682"/>
      <c r="G205" s="682"/>
      <c r="H205" s="682"/>
      <c r="I205" s="682"/>
      <c r="J205" s="682"/>
      <c r="K205" s="682"/>
      <c r="L205" s="682"/>
      <c r="M205" s="682"/>
      <c r="N205" s="682"/>
      <c r="O205" s="682"/>
    </row>
    <row r="206" spans="1:15">
      <c r="A206" s="682"/>
      <c r="B206" s="682"/>
      <c r="C206" s="682"/>
      <c r="D206" s="682"/>
      <c r="E206" s="682"/>
      <c r="F206" s="682"/>
      <c r="G206" s="682"/>
      <c r="H206" s="682"/>
      <c r="I206" s="682"/>
      <c r="J206" s="682"/>
      <c r="K206" s="682"/>
      <c r="L206" s="682"/>
      <c r="M206" s="682"/>
      <c r="N206" s="682"/>
      <c r="O206" s="682"/>
    </row>
    <row r="207" spans="1:15">
      <c r="A207" s="682"/>
      <c r="B207" s="682"/>
      <c r="C207" s="682"/>
      <c r="D207" s="682"/>
      <c r="E207" s="682"/>
      <c r="F207" s="682"/>
      <c r="G207" s="682"/>
      <c r="H207" s="682"/>
      <c r="I207" s="682"/>
      <c r="J207" s="682"/>
      <c r="K207" s="682"/>
      <c r="L207" s="682"/>
      <c r="M207" s="682"/>
      <c r="N207" s="682"/>
      <c r="O207" s="682"/>
    </row>
    <row r="208" spans="1:15">
      <c r="A208" s="682"/>
      <c r="B208" s="682"/>
      <c r="C208" s="682"/>
      <c r="D208" s="682"/>
      <c r="E208" s="682"/>
      <c r="F208" s="682"/>
      <c r="G208" s="682"/>
      <c r="H208" s="682"/>
      <c r="I208" s="682"/>
      <c r="J208" s="682"/>
      <c r="K208" s="682"/>
      <c r="L208" s="682"/>
      <c r="M208" s="682"/>
      <c r="N208" s="682"/>
      <c r="O208" s="682"/>
    </row>
    <row r="209" spans="1:15">
      <c r="A209" s="682"/>
      <c r="B209" s="682"/>
      <c r="C209" s="682"/>
      <c r="D209" s="682"/>
      <c r="E209" s="682"/>
      <c r="F209" s="682"/>
      <c r="G209" s="682"/>
      <c r="H209" s="682"/>
      <c r="I209" s="682"/>
      <c r="J209" s="682"/>
      <c r="K209" s="682"/>
      <c r="L209" s="682"/>
      <c r="M209" s="682"/>
      <c r="N209" s="682"/>
      <c r="O209" s="682"/>
    </row>
    <row r="210" spans="1:15">
      <c r="A210" s="682"/>
      <c r="B210" s="682"/>
      <c r="C210" s="682"/>
      <c r="D210" s="682"/>
      <c r="E210" s="682"/>
      <c r="F210" s="682"/>
      <c r="G210" s="682"/>
      <c r="H210" s="682"/>
      <c r="I210" s="682"/>
      <c r="J210" s="682"/>
      <c r="K210" s="682"/>
      <c r="L210" s="682"/>
      <c r="M210" s="682"/>
      <c r="N210" s="682"/>
      <c r="O210" s="682"/>
    </row>
    <row r="211" spans="1:15">
      <c r="A211" s="682"/>
      <c r="B211" s="682"/>
      <c r="C211" s="682"/>
      <c r="D211" s="682"/>
      <c r="E211" s="682"/>
      <c r="F211" s="682"/>
      <c r="G211" s="682"/>
      <c r="H211" s="682"/>
      <c r="I211" s="682"/>
      <c r="J211" s="682"/>
      <c r="K211" s="682"/>
      <c r="L211" s="682"/>
      <c r="M211" s="682"/>
      <c r="N211" s="682"/>
      <c r="O211" s="682"/>
    </row>
    <row r="212" spans="1:15">
      <c r="A212" s="682"/>
      <c r="B212" s="682"/>
      <c r="C212" s="682"/>
      <c r="D212" s="682"/>
      <c r="E212" s="682"/>
      <c r="F212" s="682"/>
      <c r="G212" s="682"/>
      <c r="H212" s="682"/>
      <c r="I212" s="682"/>
      <c r="J212" s="682"/>
      <c r="K212" s="682"/>
      <c r="L212" s="682"/>
      <c r="M212" s="682"/>
      <c r="N212" s="682"/>
      <c r="O212" s="682"/>
    </row>
    <row r="213" spans="1:15">
      <c r="A213" s="682"/>
      <c r="B213" s="682"/>
      <c r="C213" s="682"/>
      <c r="D213" s="682"/>
      <c r="E213" s="682"/>
      <c r="F213" s="682"/>
      <c r="G213" s="682"/>
      <c r="H213" s="682"/>
      <c r="I213" s="682"/>
      <c r="J213" s="682"/>
      <c r="K213" s="682"/>
      <c r="L213" s="682"/>
      <c r="M213" s="682"/>
      <c r="N213" s="682"/>
      <c r="O213" s="682"/>
    </row>
    <row r="214" spans="1:15">
      <c r="A214" s="682"/>
      <c r="B214" s="682"/>
      <c r="C214" s="682"/>
      <c r="D214" s="682"/>
      <c r="E214" s="682"/>
      <c r="F214" s="682"/>
      <c r="G214" s="682"/>
      <c r="H214" s="682"/>
      <c r="I214" s="682"/>
      <c r="J214" s="682"/>
      <c r="K214" s="682"/>
      <c r="L214" s="682"/>
      <c r="M214" s="682"/>
      <c r="N214" s="682"/>
      <c r="O214" s="682"/>
    </row>
    <row r="215" spans="1:15">
      <c r="A215" s="682"/>
      <c r="B215" s="682"/>
      <c r="C215" s="682"/>
      <c r="D215" s="682"/>
      <c r="E215" s="682"/>
      <c r="F215" s="682"/>
      <c r="G215" s="682"/>
      <c r="H215" s="682"/>
      <c r="I215" s="682"/>
      <c r="J215" s="682"/>
      <c r="K215" s="682"/>
      <c r="L215" s="682"/>
      <c r="M215" s="682"/>
      <c r="N215" s="682"/>
      <c r="O215" s="682"/>
    </row>
    <row r="216" spans="1:15">
      <c r="A216" s="682"/>
      <c r="B216" s="682"/>
      <c r="C216" s="682"/>
      <c r="D216" s="682"/>
      <c r="E216" s="682"/>
      <c r="F216" s="682"/>
      <c r="G216" s="682"/>
      <c r="H216" s="682"/>
      <c r="I216" s="682"/>
      <c r="J216" s="682"/>
      <c r="K216" s="682"/>
      <c r="L216" s="682"/>
      <c r="M216" s="682"/>
      <c r="N216" s="682"/>
      <c r="O216" s="682"/>
    </row>
    <row r="217" spans="1:15">
      <c r="A217" s="682"/>
      <c r="B217" s="682"/>
      <c r="C217" s="682"/>
      <c r="D217" s="682"/>
      <c r="E217" s="682"/>
      <c r="F217" s="682"/>
      <c r="G217" s="682"/>
      <c r="H217" s="682"/>
      <c r="I217" s="682"/>
      <c r="J217" s="682"/>
      <c r="K217" s="682"/>
      <c r="L217" s="682"/>
      <c r="M217" s="682"/>
      <c r="N217" s="682"/>
      <c r="O217" s="682"/>
    </row>
    <row r="218" spans="1:15">
      <c r="A218" s="682"/>
      <c r="B218" s="682"/>
      <c r="C218" s="682"/>
      <c r="D218" s="682"/>
      <c r="E218" s="682"/>
      <c r="F218" s="682"/>
      <c r="G218" s="682"/>
      <c r="H218" s="682"/>
      <c r="I218" s="682"/>
      <c r="J218" s="682"/>
      <c r="K218" s="682"/>
      <c r="L218" s="682"/>
      <c r="M218" s="682"/>
      <c r="N218" s="682"/>
      <c r="O218" s="682"/>
    </row>
    <row r="219" spans="1:15">
      <c r="A219" s="682"/>
      <c r="B219" s="682"/>
      <c r="C219" s="682"/>
      <c r="D219" s="682"/>
      <c r="E219" s="682"/>
      <c r="F219" s="682"/>
      <c r="G219" s="682"/>
      <c r="H219" s="682"/>
      <c r="I219" s="682"/>
      <c r="J219" s="682"/>
      <c r="K219" s="682"/>
      <c r="L219" s="682"/>
      <c r="M219" s="682"/>
      <c r="N219" s="682"/>
      <c r="O219" s="682"/>
    </row>
    <row r="220" spans="1:15">
      <c r="A220" s="682"/>
      <c r="B220" s="682"/>
      <c r="C220" s="682"/>
      <c r="D220" s="682"/>
      <c r="E220" s="682"/>
      <c r="F220" s="682"/>
      <c r="G220" s="682"/>
      <c r="H220" s="682"/>
      <c r="I220" s="682"/>
      <c r="J220" s="682"/>
      <c r="K220" s="682"/>
      <c r="L220" s="682"/>
      <c r="M220" s="682"/>
      <c r="N220" s="682"/>
      <c r="O220" s="682"/>
    </row>
    <row r="221" spans="1:15">
      <c r="A221" s="682"/>
      <c r="B221" s="682"/>
      <c r="C221" s="682"/>
      <c r="D221" s="682"/>
      <c r="E221" s="682"/>
      <c r="F221" s="682"/>
      <c r="G221" s="682"/>
      <c r="H221" s="682"/>
      <c r="I221" s="682"/>
      <c r="J221" s="682"/>
      <c r="K221" s="682"/>
      <c r="L221" s="682"/>
      <c r="M221" s="682"/>
      <c r="N221" s="682"/>
      <c r="O221" s="682"/>
    </row>
    <row r="222" spans="1:15">
      <c r="A222" s="682"/>
      <c r="B222" s="682"/>
      <c r="C222" s="682"/>
      <c r="D222" s="682"/>
      <c r="E222" s="682"/>
      <c r="F222" s="682"/>
      <c r="G222" s="682"/>
      <c r="H222" s="682"/>
      <c r="I222" s="682"/>
      <c r="J222" s="682"/>
      <c r="K222" s="682"/>
      <c r="L222" s="682"/>
      <c r="M222" s="682"/>
      <c r="N222" s="682"/>
      <c r="O222" s="682"/>
    </row>
    <row r="223" spans="1:15">
      <c r="A223" s="682"/>
      <c r="B223" s="682"/>
      <c r="C223" s="682"/>
      <c r="D223" s="682"/>
      <c r="E223" s="682"/>
      <c r="F223" s="682"/>
      <c r="G223" s="682"/>
      <c r="H223" s="682"/>
      <c r="I223" s="682"/>
      <c r="J223" s="682"/>
      <c r="K223" s="682"/>
      <c r="L223" s="682"/>
      <c r="M223" s="682"/>
      <c r="N223" s="682"/>
      <c r="O223" s="682"/>
    </row>
    <row r="224" spans="1:15">
      <c r="A224" s="682"/>
      <c r="B224" s="682"/>
      <c r="C224" s="682"/>
      <c r="D224" s="682"/>
      <c r="E224" s="682"/>
      <c r="F224" s="682"/>
      <c r="G224" s="682"/>
      <c r="H224" s="682"/>
      <c r="I224" s="682"/>
      <c r="J224" s="682"/>
      <c r="K224" s="682"/>
      <c r="L224" s="682"/>
      <c r="M224" s="682"/>
      <c r="N224" s="682"/>
      <c r="O224" s="682"/>
    </row>
    <row r="225" spans="1:15">
      <c r="A225" s="682"/>
      <c r="B225" s="682"/>
      <c r="C225" s="682"/>
      <c r="D225" s="682"/>
      <c r="E225" s="682"/>
      <c r="F225" s="682"/>
      <c r="G225" s="682"/>
      <c r="H225" s="682"/>
      <c r="I225" s="682"/>
      <c r="J225" s="682"/>
      <c r="K225" s="682"/>
      <c r="L225" s="682"/>
      <c r="M225" s="682"/>
      <c r="N225" s="682"/>
      <c r="O225" s="682"/>
    </row>
    <row r="226" spans="1:15">
      <c r="A226" s="682"/>
      <c r="B226" s="682"/>
      <c r="C226" s="682"/>
      <c r="D226" s="682"/>
      <c r="E226" s="682"/>
      <c r="F226" s="682"/>
      <c r="G226" s="682"/>
      <c r="H226" s="682"/>
      <c r="I226" s="682"/>
      <c r="J226" s="682"/>
      <c r="K226" s="682"/>
      <c r="L226" s="682"/>
      <c r="M226" s="682"/>
      <c r="N226" s="682"/>
      <c r="O226" s="682"/>
    </row>
    <row r="227" spans="1:15">
      <c r="A227" s="682"/>
      <c r="B227" s="682"/>
      <c r="C227" s="682"/>
      <c r="D227" s="682"/>
      <c r="E227" s="682"/>
      <c r="F227" s="682"/>
      <c r="G227" s="682"/>
      <c r="H227" s="682"/>
      <c r="I227" s="682"/>
      <c r="J227" s="682"/>
      <c r="K227" s="682"/>
      <c r="L227" s="682"/>
      <c r="M227" s="682"/>
      <c r="N227" s="682"/>
      <c r="O227" s="682"/>
    </row>
    <row r="228" spans="1:15">
      <c r="A228" s="682"/>
      <c r="B228" s="682"/>
      <c r="C228" s="682"/>
      <c r="D228" s="682"/>
      <c r="E228" s="682"/>
      <c r="F228" s="682"/>
      <c r="G228" s="682"/>
      <c r="H228" s="682"/>
      <c r="I228" s="682"/>
      <c r="J228" s="682"/>
      <c r="K228" s="682"/>
      <c r="L228" s="682"/>
      <c r="M228" s="682"/>
      <c r="N228" s="682"/>
      <c r="O228" s="682"/>
    </row>
    <row r="229" spans="1:15">
      <c r="A229" s="682"/>
      <c r="B229" s="682"/>
      <c r="C229" s="682"/>
      <c r="D229" s="682"/>
      <c r="E229" s="682"/>
      <c r="F229" s="682"/>
      <c r="G229" s="682"/>
      <c r="H229" s="682"/>
      <c r="I229" s="682"/>
      <c r="J229" s="682"/>
      <c r="K229" s="682"/>
      <c r="L229" s="682"/>
      <c r="M229" s="682"/>
      <c r="N229" s="682"/>
      <c r="O229" s="682"/>
    </row>
    <row r="230" spans="1:15">
      <c r="A230" s="682"/>
      <c r="B230" s="682"/>
      <c r="C230" s="682"/>
      <c r="D230" s="682"/>
      <c r="E230" s="682"/>
      <c r="F230" s="682"/>
      <c r="G230" s="682"/>
      <c r="H230" s="682"/>
      <c r="I230" s="682"/>
      <c r="J230" s="682"/>
      <c r="K230" s="682"/>
      <c r="L230" s="682"/>
      <c r="M230" s="682"/>
      <c r="N230" s="682"/>
      <c r="O230" s="682"/>
    </row>
    <row r="231" spans="1:15">
      <c r="A231" s="682"/>
      <c r="B231" s="682"/>
      <c r="C231" s="682"/>
      <c r="D231" s="682"/>
      <c r="E231" s="682"/>
      <c r="F231" s="682"/>
      <c r="G231" s="682"/>
      <c r="H231" s="682"/>
      <c r="I231" s="682"/>
      <c r="J231" s="682"/>
      <c r="K231" s="682"/>
      <c r="L231" s="682"/>
      <c r="M231" s="682"/>
      <c r="N231" s="682"/>
      <c r="O231" s="682"/>
    </row>
    <row r="232" spans="1:15">
      <c r="A232" s="682"/>
      <c r="B232" s="682"/>
      <c r="C232" s="682"/>
      <c r="D232" s="682"/>
      <c r="E232" s="682"/>
      <c r="F232" s="682"/>
      <c r="G232" s="682"/>
      <c r="H232" s="682"/>
      <c r="I232" s="682"/>
      <c r="J232" s="682"/>
      <c r="K232" s="682"/>
      <c r="L232" s="682"/>
      <c r="M232" s="682"/>
      <c r="N232" s="682"/>
      <c r="O232" s="682"/>
    </row>
    <row r="233" spans="1:15">
      <c r="A233" s="682"/>
      <c r="B233" s="682"/>
      <c r="C233" s="682"/>
      <c r="D233" s="682"/>
      <c r="E233" s="682"/>
      <c r="F233" s="682"/>
      <c r="G233" s="682"/>
      <c r="H233" s="682"/>
      <c r="I233" s="682"/>
      <c r="J233" s="682"/>
      <c r="K233" s="682"/>
      <c r="L233" s="682"/>
      <c r="M233" s="682"/>
      <c r="N233" s="682"/>
      <c r="O233" s="682"/>
    </row>
    <row r="234" spans="1:15">
      <c r="A234" s="682"/>
      <c r="B234" s="682"/>
      <c r="C234" s="682"/>
      <c r="D234" s="682"/>
      <c r="E234" s="682"/>
      <c r="F234" s="682"/>
      <c r="G234" s="682"/>
      <c r="H234" s="682"/>
      <c r="I234" s="682"/>
      <c r="J234" s="682"/>
      <c r="K234" s="682"/>
      <c r="L234" s="682"/>
      <c r="M234" s="682"/>
      <c r="N234" s="682"/>
      <c r="O234" s="682"/>
    </row>
    <row r="235" spans="1:15">
      <c r="A235" s="682"/>
      <c r="B235" s="682"/>
      <c r="C235" s="682"/>
      <c r="D235" s="682"/>
      <c r="E235" s="682"/>
      <c r="F235" s="682"/>
      <c r="G235" s="682"/>
      <c r="H235" s="682"/>
      <c r="I235" s="682"/>
      <c r="J235" s="682"/>
      <c r="K235" s="682"/>
      <c r="L235" s="682"/>
      <c r="M235" s="682"/>
      <c r="N235" s="682"/>
      <c r="O235" s="682"/>
    </row>
    <row r="236" spans="1:15">
      <c r="A236" s="682"/>
      <c r="B236" s="682"/>
      <c r="C236" s="682"/>
      <c r="D236" s="682"/>
      <c r="E236" s="682"/>
      <c r="F236" s="682"/>
      <c r="G236" s="682"/>
      <c r="H236" s="682"/>
      <c r="I236" s="682"/>
      <c r="J236" s="682"/>
      <c r="K236" s="682"/>
      <c r="L236" s="682"/>
      <c r="M236" s="682"/>
      <c r="N236" s="682"/>
      <c r="O236" s="682"/>
    </row>
    <row r="237" spans="1:15">
      <c r="A237" s="682"/>
      <c r="B237" s="682"/>
      <c r="C237" s="682"/>
      <c r="D237" s="682"/>
      <c r="E237" s="682"/>
      <c r="F237" s="682"/>
      <c r="G237" s="682"/>
      <c r="H237" s="682"/>
      <c r="I237" s="682"/>
      <c r="J237" s="682"/>
      <c r="K237" s="682"/>
      <c r="L237" s="682"/>
      <c r="M237" s="682"/>
      <c r="N237" s="682"/>
      <c r="O237" s="682"/>
    </row>
    <row r="238" spans="1:15">
      <c r="A238" s="682"/>
      <c r="B238" s="682"/>
      <c r="C238" s="682"/>
      <c r="D238" s="682"/>
      <c r="E238" s="682"/>
      <c r="F238" s="682"/>
      <c r="G238" s="682"/>
      <c r="H238" s="682"/>
      <c r="I238" s="682"/>
      <c r="J238" s="682"/>
      <c r="K238" s="682"/>
      <c r="L238" s="682"/>
      <c r="M238" s="682"/>
      <c r="N238" s="682"/>
      <c r="O238" s="682"/>
    </row>
    <row r="239" spans="1:15">
      <c r="A239" s="682"/>
      <c r="B239" s="682"/>
      <c r="C239" s="682"/>
      <c r="D239" s="682"/>
      <c r="E239" s="682"/>
      <c r="F239" s="682"/>
      <c r="G239" s="682"/>
      <c r="H239" s="682"/>
      <c r="I239" s="682"/>
      <c r="J239" s="682"/>
      <c r="K239" s="682"/>
      <c r="L239" s="682"/>
      <c r="M239" s="682"/>
      <c r="N239" s="682"/>
      <c r="O239" s="682"/>
    </row>
    <row r="240" spans="1:15">
      <c r="A240" s="682"/>
      <c r="B240" s="682"/>
      <c r="C240" s="682"/>
      <c r="D240" s="682"/>
      <c r="E240" s="682"/>
      <c r="F240" s="682"/>
      <c r="G240" s="682"/>
      <c r="H240" s="682"/>
      <c r="I240" s="682"/>
      <c r="J240" s="682"/>
      <c r="K240" s="682"/>
      <c r="L240" s="682"/>
      <c r="M240" s="682"/>
      <c r="N240" s="682"/>
      <c r="O240" s="682"/>
    </row>
    <row r="241" spans="1:15">
      <c r="A241" s="682"/>
      <c r="B241" s="682"/>
      <c r="C241" s="682"/>
      <c r="D241" s="682"/>
      <c r="E241" s="682"/>
      <c r="F241" s="682"/>
      <c r="G241" s="682"/>
      <c r="H241" s="682"/>
      <c r="I241" s="682"/>
      <c r="J241" s="682"/>
      <c r="K241" s="682"/>
      <c r="L241" s="682"/>
      <c r="M241" s="682"/>
      <c r="N241" s="682"/>
      <c r="O241" s="682"/>
    </row>
    <row r="242" spans="1:15">
      <c r="A242" s="682"/>
      <c r="B242" s="682"/>
      <c r="C242" s="682"/>
      <c r="D242" s="682"/>
      <c r="E242" s="682"/>
      <c r="F242" s="682"/>
      <c r="G242" s="682"/>
      <c r="H242" s="682"/>
      <c r="I242" s="682"/>
      <c r="J242" s="682"/>
      <c r="K242" s="682"/>
      <c r="L242" s="682"/>
      <c r="M242" s="682"/>
      <c r="N242" s="682"/>
      <c r="O242" s="682"/>
    </row>
    <row r="243" spans="1:15">
      <c r="A243" s="682"/>
      <c r="B243" s="682"/>
      <c r="C243" s="682"/>
      <c r="D243" s="682"/>
      <c r="E243" s="682"/>
      <c r="F243" s="682"/>
      <c r="G243" s="682"/>
      <c r="H243" s="682"/>
      <c r="I243" s="682"/>
      <c r="J243" s="682"/>
      <c r="K243" s="682"/>
      <c r="L243" s="682"/>
      <c r="M243" s="682"/>
      <c r="N243" s="682"/>
      <c r="O243" s="682"/>
    </row>
  </sheetData>
  <sheetProtection sheet="1" objects="1" scenarios="1"/>
  <mergeCells count="1">
    <mergeCell ref="A1:O243"/>
  </mergeCells>
  <pageMargins left="0.7" right="0.7" top="0.75" bottom="0.75" header="0.3" footer="0.3"/>
  <pageSetup paperSize="9" orientation="portrait" horizontalDpi="0" verticalDpi="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21262-29FD-1C4E-9405-DA2D546CED62}">
  <sheetPr>
    <tabColor theme="4" tint="-0.249977111117893"/>
    <pageSetUpPr fitToPage="1"/>
  </sheetPr>
  <dimension ref="A1:AO107"/>
  <sheetViews>
    <sheetView showZeros="0" zoomScale="94" zoomScaleNormal="100" workbookViewId="0">
      <selection activeCell="B52" sqref="B52:H52"/>
    </sheetView>
  </sheetViews>
  <sheetFormatPr baseColWidth="10" defaultRowHeight="16"/>
  <cols>
    <col min="11" max="11" width="14.1640625" bestFit="1" customWidth="1"/>
  </cols>
  <sheetData>
    <row r="1" spans="1:41" ht="47" customHeight="1">
      <c r="A1" s="682"/>
      <c r="B1" s="682"/>
      <c r="C1" s="689" t="s">
        <v>525</v>
      </c>
      <c r="D1" s="689"/>
      <c r="E1" s="689"/>
      <c r="F1" s="689"/>
      <c r="G1" s="689"/>
      <c r="H1" s="689"/>
      <c r="I1" s="689"/>
      <c r="J1" s="689"/>
      <c r="K1" s="689"/>
    </row>
    <row r="2" spans="1:41" ht="49" customHeight="1" thickBot="1">
      <c r="A2" s="682"/>
      <c r="B2" s="682"/>
      <c r="C2" s="690" t="s">
        <v>503</v>
      </c>
      <c r="D2" s="690"/>
      <c r="E2" s="690"/>
      <c r="F2" s="690"/>
      <c r="G2" s="690"/>
      <c r="H2" s="690"/>
      <c r="I2" s="690"/>
      <c r="J2" s="690"/>
      <c r="K2" s="690"/>
    </row>
    <row r="3" spans="1:41" ht="31" customHeight="1">
      <c r="A3" s="1156" t="s">
        <v>383</v>
      </c>
      <c r="B3" s="1182" t="s">
        <v>538</v>
      </c>
      <c r="C3" s="1183"/>
      <c r="D3" s="1183"/>
      <c r="E3" s="1183"/>
      <c r="F3" s="1183"/>
      <c r="G3" s="1183"/>
      <c r="H3" s="1183"/>
      <c r="I3" s="1184"/>
      <c r="J3" s="1194" t="s">
        <v>524</v>
      </c>
      <c r="K3" s="1173" t="s">
        <v>69</v>
      </c>
      <c r="L3" s="1181"/>
      <c r="M3" s="44" t="s">
        <v>522</v>
      </c>
    </row>
    <row r="4" spans="1:41" ht="45" customHeight="1" thickBot="1">
      <c r="A4" s="1157"/>
      <c r="B4" s="1185" t="s">
        <v>539</v>
      </c>
      <c r="C4" s="1186"/>
      <c r="D4" s="1186"/>
      <c r="E4" s="1186"/>
      <c r="F4" s="1186"/>
      <c r="G4" s="1186"/>
      <c r="H4" s="1186"/>
      <c r="I4" s="1187"/>
      <c r="J4" s="1195"/>
      <c r="K4" s="1174"/>
      <c r="L4" s="1181"/>
      <c r="M4" s="44" t="s">
        <v>523</v>
      </c>
    </row>
    <row r="5" spans="1:41" s="4" customFormat="1" ht="40" customHeight="1">
      <c r="A5" s="1157"/>
      <c r="B5" s="1188" t="s">
        <v>537</v>
      </c>
      <c r="C5" s="1189"/>
      <c r="D5" s="1189"/>
      <c r="E5" s="1189"/>
      <c r="F5" s="1189"/>
      <c r="G5" s="1189"/>
      <c r="H5" s="1189"/>
      <c r="I5" s="1189"/>
      <c r="J5" s="1195"/>
      <c r="K5" s="1192">
        <f>Arbejdstidsoversigt!J31</f>
        <v>0</v>
      </c>
      <c r="L5" s="1181"/>
      <c r="M5" s="220"/>
      <c r="N5" s="221"/>
      <c r="O5" s="222"/>
      <c r="P5" s="222"/>
      <c r="Q5" s="219"/>
      <c r="R5" s="219"/>
      <c r="S5" s="219"/>
      <c r="T5" s="219"/>
      <c r="U5" s="219"/>
      <c r="W5" s="220"/>
      <c r="X5" s="221"/>
      <c r="Y5" s="222"/>
      <c r="Z5" s="222"/>
      <c r="AA5" s="219"/>
      <c r="AB5" s="219"/>
      <c r="AC5" s="219"/>
      <c r="AD5" s="219"/>
      <c r="AE5" s="219"/>
      <c r="AG5" s="220"/>
      <c r="AH5" s="221"/>
      <c r="AI5" s="222"/>
      <c r="AJ5" s="222"/>
      <c r="AK5" s="219"/>
      <c r="AL5" s="219"/>
      <c r="AM5" s="219"/>
      <c r="AN5" s="219"/>
      <c r="AO5" s="219"/>
    </row>
    <row r="6" spans="1:41" s="4" customFormat="1" ht="12" customHeight="1">
      <c r="A6" s="1157"/>
      <c r="B6" s="1197" t="s">
        <v>536</v>
      </c>
      <c r="C6" s="1198"/>
      <c r="D6" s="1198"/>
      <c r="E6" s="1198"/>
      <c r="F6" s="1198"/>
      <c r="G6" s="1198"/>
      <c r="H6" s="1198"/>
      <c r="I6" s="1199"/>
      <c r="J6" s="1195"/>
      <c r="K6" s="1192"/>
      <c r="L6" s="1181"/>
      <c r="M6" s="220"/>
      <c r="N6" s="221"/>
      <c r="O6" s="222"/>
      <c r="P6" s="222"/>
      <c r="Q6" s="219"/>
      <c r="R6" s="219"/>
      <c r="S6" s="219"/>
      <c r="T6" s="219"/>
      <c r="U6" s="219"/>
      <c r="W6" s="220"/>
      <c r="X6" s="221"/>
      <c r="Y6" s="222"/>
      <c r="Z6" s="222"/>
      <c r="AA6" s="219"/>
      <c r="AB6" s="219"/>
      <c r="AC6" s="219"/>
      <c r="AD6" s="219"/>
      <c r="AE6" s="219"/>
      <c r="AG6" s="220"/>
      <c r="AH6" s="221"/>
      <c r="AI6" s="222"/>
      <c r="AJ6" s="222"/>
      <c r="AK6" s="219"/>
      <c r="AL6" s="219"/>
      <c r="AM6" s="219"/>
      <c r="AN6" s="219"/>
      <c r="AO6" s="219"/>
    </row>
    <row r="7" spans="1:41" s="4" customFormat="1" ht="49" customHeight="1" thickBot="1">
      <c r="A7" s="1157"/>
      <c r="B7" s="1190" t="s">
        <v>540</v>
      </c>
      <c r="C7" s="1191"/>
      <c r="D7" s="1191"/>
      <c r="E7" s="1191"/>
      <c r="F7" s="1191"/>
      <c r="G7" s="1191"/>
      <c r="H7" s="1191"/>
      <c r="I7" s="1191"/>
      <c r="J7" s="1196"/>
      <c r="K7" s="1193"/>
      <c r="L7" s="1181"/>
    </row>
    <row r="8" spans="1:41" s="4" customFormat="1" ht="20" customHeight="1">
      <c r="A8" s="1157"/>
      <c r="B8" s="1170"/>
      <c r="C8" s="1171"/>
      <c r="D8" s="1171"/>
      <c r="E8" s="1171"/>
      <c r="F8" s="1171"/>
      <c r="G8" s="1171"/>
      <c r="H8" s="1171"/>
      <c r="I8" s="1172"/>
      <c r="J8" s="575"/>
      <c r="K8" s="576"/>
      <c r="L8" s="235"/>
      <c r="M8" s="220"/>
      <c r="N8" s="221"/>
      <c r="O8" s="222"/>
      <c r="P8" s="222"/>
      <c r="Q8" s="219"/>
      <c r="R8" s="219"/>
      <c r="S8" s="219"/>
      <c r="T8" s="219"/>
      <c r="U8" s="219"/>
      <c r="W8" s="220"/>
      <c r="X8" s="221"/>
      <c r="Y8" s="222"/>
      <c r="Z8" s="222"/>
      <c r="AA8" s="219"/>
      <c r="AB8" s="219"/>
      <c r="AC8" s="219"/>
      <c r="AD8" s="219"/>
      <c r="AE8" s="219"/>
      <c r="AG8" s="220"/>
      <c r="AH8" s="221"/>
      <c r="AI8" s="222"/>
      <c r="AJ8" s="222"/>
      <c r="AK8" s="219"/>
      <c r="AL8" s="219"/>
      <c r="AM8" s="219"/>
      <c r="AN8" s="219"/>
      <c r="AO8" s="219"/>
    </row>
    <row r="9" spans="1:41" s="4" customFormat="1" ht="20" customHeight="1">
      <c r="A9" s="1157"/>
      <c r="B9" s="1170"/>
      <c r="C9" s="1171"/>
      <c r="D9" s="1171"/>
      <c r="E9" s="1171"/>
      <c r="F9" s="1171"/>
      <c r="G9" s="1171"/>
      <c r="H9" s="1171"/>
      <c r="I9" s="1172"/>
      <c r="J9" s="575"/>
      <c r="K9" s="391"/>
      <c r="L9" s="235"/>
      <c r="M9" s="220"/>
      <c r="N9" s="221"/>
      <c r="O9" s="222"/>
      <c r="P9" s="222"/>
      <c r="Q9" s="219"/>
      <c r="R9" s="219"/>
      <c r="S9" s="219"/>
      <c r="T9" s="219"/>
      <c r="U9" s="219"/>
      <c r="W9" s="220"/>
      <c r="X9" s="221"/>
      <c r="Y9" s="222"/>
      <c r="Z9" s="222"/>
      <c r="AA9" s="219"/>
      <c r="AB9" s="219"/>
      <c r="AC9" s="219"/>
      <c r="AD9" s="219"/>
      <c r="AE9" s="219"/>
      <c r="AG9" s="220"/>
      <c r="AH9" s="221"/>
      <c r="AI9" s="222"/>
      <c r="AJ9" s="222"/>
      <c r="AK9" s="219"/>
      <c r="AL9" s="219"/>
      <c r="AM9" s="219"/>
      <c r="AN9" s="219"/>
      <c r="AO9" s="219"/>
    </row>
    <row r="10" spans="1:41" s="4" customFormat="1" ht="20" customHeight="1">
      <c r="A10" s="1157"/>
      <c r="B10" s="1170"/>
      <c r="C10" s="1171"/>
      <c r="D10" s="1171"/>
      <c r="E10" s="1171"/>
      <c r="F10" s="1171"/>
      <c r="G10" s="1171"/>
      <c r="H10" s="1171"/>
      <c r="I10" s="1172"/>
      <c r="J10" s="575"/>
      <c r="K10" s="391"/>
      <c r="L10" s="235"/>
      <c r="M10" s="220"/>
      <c r="N10" s="221"/>
      <c r="O10" s="222"/>
      <c r="P10" s="222"/>
      <c r="Q10" s="219"/>
      <c r="R10" s="219"/>
      <c r="S10" s="219"/>
      <c r="T10" s="219"/>
      <c r="U10" s="219"/>
      <c r="W10" s="220"/>
      <c r="X10" s="221"/>
      <c r="Y10" s="222"/>
      <c r="Z10" s="222"/>
      <c r="AA10" s="219"/>
      <c r="AB10" s="219"/>
      <c r="AC10" s="219"/>
      <c r="AD10" s="219"/>
      <c r="AE10" s="219"/>
      <c r="AG10" s="220"/>
      <c r="AH10" s="221"/>
      <c r="AI10" s="222"/>
      <c r="AJ10" s="222"/>
      <c r="AK10" s="219"/>
      <c r="AL10" s="219"/>
      <c r="AM10" s="219"/>
      <c r="AN10" s="219"/>
      <c r="AO10" s="219"/>
    </row>
    <row r="11" spans="1:41" s="4" customFormat="1" ht="20" customHeight="1">
      <c r="A11" s="1157"/>
      <c r="B11" s="1170"/>
      <c r="C11" s="1171"/>
      <c r="D11" s="1171"/>
      <c r="E11" s="1171"/>
      <c r="F11" s="1171"/>
      <c r="G11" s="1171"/>
      <c r="H11" s="1171"/>
      <c r="I11" s="1172"/>
      <c r="J11" s="575"/>
      <c r="K11" s="391"/>
      <c r="L11" s="235"/>
      <c r="M11" s="220"/>
      <c r="N11" s="221"/>
      <c r="O11" s="222"/>
      <c r="P11" s="222"/>
      <c r="Q11" s="219"/>
      <c r="R11" s="219"/>
      <c r="S11" s="219"/>
      <c r="T11" s="219"/>
      <c r="U11" s="219"/>
      <c r="W11" s="220"/>
      <c r="X11" s="221"/>
      <c r="Y11" s="222"/>
      <c r="Z11" s="222"/>
      <c r="AA11" s="219"/>
      <c r="AB11" s="219"/>
      <c r="AC11" s="219"/>
      <c r="AD11" s="219"/>
      <c r="AE11" s="219"/>
      <c r="AG11" s="220"/>
      <c r="AH11" s="221"/>
      <c r="AI11" s="222"/>
      <c r="AJ11" s="222"/>
      <c r="AK11" s="219"/>
      <c r="AL11" s="219"/>
      <c r="AM11" s="219"/>
      <c r="AN11" s="219"/>
      <c r="AO11" s="219"/>
    </row>
    <row r="12" spans="1:41" s="4" customFormat="1" ht="20" customHeight="1">
      <c r="A12" s="1157"/>
      <c r="B12" s="1170"/>
      <c r="C12" s="1171"/>
      <c r="D12" s="1171"/>
      <c r="E12" s="1171"/>
      <c r="F12" s="1171"/>
      <c r="G12" s="1171"/>
      <c r="H12" s="1171"/>
      <c r="I12" s="1172"/>
      <c r="J12" s="575"/>
      <c r="K12" s="391"/>
      <c r="L12" s="235"/>
      <c r="M12" s="220"/>
      <c r="N12" s="221"/>
      <c r="O12" s="222"/>
      <c r="P12" s="222"/>
      <c r="Q12" s="219"/>
      <c r="R12" s="219"/>
      <c r="S12" s="219"/>
      <c r="T12" s="219"/>
      <c r="U12" s="219"/>
      <c r="W12" s="220"/>
      <c r="X12" s="221"/>
      <c r="Y12" s="222"/>
      <c r="Z12" s="222"/>
      <c r="AA12" s="219"/>
      <c r="AB12" s="219"/>
      <c r="AC12" s="219"/>
      <c r="AD12" s="219"/>
      <c r="AE12" s="219"/>
      <c r="AG12" s="220"/>
      <c r="AH12" s="221"/>
      <c r="AI12" s="222"/>
      <c r="AJ12" s="222"/>
      <c r="AK12" s="219"/>
      <c r="AL12" s="219"/>
      <c r="AM12" s="219"/>
      <c r="AN12" s="219"/>
      <c r="AO12" s="219"/>
    </row>
    <row r="13" spans="1:41" s="4" customFormat="1" ht="20" customHeight="1">
      <c r="A13" s="1157"/>
      <c r="B13" s="1170"/>
      <c r="C13" s="1171"/>
      <c r="D13" s="1171"/>
      <c r="E13" s="1171"/>
      <c r="F13" s="1171"/>
      <c r="G13" s="1171"/>
      <c r="H13" s="1171"/>
      <c r="I13" s="1172"/>
      <c r="J13" s="575"/>
      <c r="K13" s="391"/>
      <c r="L13" s="235"/>
      <c r="M13" s="220"/>
      <c r="N13" s="221"/>
      <c r="O13" s="222"/>
      <c r="P13" s="222"/>
      <c r="Q13" s="219"/>
      <c r="R13" s="219"/>
      <c r="S13" s="219"/>
      <c r="T13" s="219"/>
      <c r="U13" s="219"/>
      <c r="W13" s="220"/>
      <c r="X13" s="221"/>
      <c r="Y13" s="222"/>
      <c r="Z13" s="222"/>
      <c r="AA13" s="219"/>
      <c r="AB13" s="219"/>
      <c r="AC13" s="219"/>
      <c r="AD13" s="219"/>
      <c r="AE13" s="219"/>
      <c r="AG13" s="220"/>
      <c r="AH13" s="221"/>
      <c r="AI13" s="222"/>
      <c r="AJ13" s="222"/>
      <c r="AK13" s="219"/>
      <c r="AL13" s="219"/>
      <c r="AM13" s="219"/>
      <c r="AN13" s="219"/>
      <c r="AO13" s="219"/>
    </row>
    <row r="14" spans="1:41" s="4" customFormat="1" ht="20" customHeight="1">
      <c r="A14" s="1157"/>
      <c r="B14" s="1170"/>
      <c r="C14" s="1171"/>
      <c r="D14" s="1171"/>
      <c r="E14" s="1171"/>
      <c r="F14" s="1171"/>
      <c r="G14" s="1171"/>
      <c r="H14" s="1171"/>
      <c r="I14" s="1172"/>
      <c r="J14" s="575"/>
      <c r="K14" s="391"/>
      <c r="L14" s="235"/>
      <c r="M14" s="220"/>
      <c r="N14" s="221"/>
      <c r="O14" s="222"/>
      <c r="P14" s="222"/>
      <c r="Q14" s="219"/>
      <c r="R14" s="219"/>
      <c r="S14" s="219"/>
      <c r="T14" s="219"/>
      <c r="U14" s="219"/>
      <c r="W14" s="220"/>
      <c r="X14" s="221"/>
      <c r="Y14" s="222"/>
      <c r="Z14" s="222"/>
      <c r="AA14" s="219"/>
      <c r="AB14" s="219"/>
      <c r="AC14" s="219"/>
      <c r="AD14" s="219"/>
      <c r="AE14" s="219"/>
      <c r="AG14" s="220"/>
      <c r="AH14" s="221"/>
      <c r="AI14" s="222"/>
      <c r="AJ14" s="222"/>
      <c r="AK14" s="219"/>
      <c r="AL14" s="219"/>
      <c r="AM14" s="219"/>
      <c r="AN14" s="219"/>
      <c r="AO14" s="219"/>
    </row>
    <row r="15" spans="1:41" s="4" customFormat="1" ht="20" customHeight="1">
      <c r="A15" s="1157"/>
      <c r="B15" s="1170"/>
      <c r="C15" s="1171"/>
      <c r="D15" s="1171"/>
      <c r="E15" s="1171"/>
      <c r="F15" s="1171"/>
      <c r="G15" s="1171"/>
      <c r="H15" s="1171"/>
      <c r="I15" s="1172"/>
      <c r="J15" s="575"/>
      <c r="K15" s="391"/>
      <c r="L15" s="235"/>
      <c r="M15" s="220"/>
      <c r="N15" s="221"/>
      <c r="O15" s="222"/>
      <c r="P15" s="222"/>
      <c r="Q15" s="219"/>
      <c r="R15" s="219"/>
      <c r="S15" s="219"/>
      <c r="T15" s="219"/>
      <c r="U15" s="219"/>
      <c r="W15" s="220"/>
      <c r="X15" s="221"/>
      <c r="Y15" s="222"/>
      <c r="Z15" s="222"/>
      <c r="AA15" s="219"/>
      <c r="AB15" s="219"/>
      <c r="AC15" s="219"/>
      <c r="AD15" s="219"/>
      <c r="AE15" s="219"/>
      <c r="AG15" s="220"/>
      <c r="AH15" s="221"/>
      <c r="AI15" s="222"/>
      <c r="AJ15" s="222"/>
      <c r="AK15" s="219"/>
      <c r="AL15" s="219"/>
      <c r="AM15" s="219"/>
      <c r="AN15" s="219"/>
      <c r="AO15" s="219"/>
    </row>
    <row r="16" spans="1:41" s="4" customFormat="1" ht="20" customHeight="1">
      <c r="A16" s="1157"/>
      <c r="B16" s="1170"/>
      <c r="C16" s="1171"/>
      <c r="D16" s="1171"/>
      <c r="E16" s="1171"/>
      <c r="F16" s="1171"/>
      <c r="G16" s="1171"/>
      <c r="H16" s="1171"/>
      <c r="I16" s="1172"/>
      <c r="J16" s="575"/>
      <c r="K16" s="391"/>
      <c r="L16" s="235"/>
      <c r="M16" s="220"/>
      <c r="N16" s="221"/>
      <c r="O16" s="222"/>
      <c r="P16" s="222"/>
      <c r="Q16" s="219"/>
      <c r="R16" s="219"/>
      <c r="S16" s="219"/>
      <c r="T16" s="219"/>
      <c r="U16" s="219"/>
      <c r="W16" s="220"/>
      <c r="X16" s="221"/>
      <c r="Y16" s="222"/>
      <c r="Z16" s="222"/>
      <c r="AA16" s="219"/>
      <c r="AB16" s="219"/>
      <c r="AC16" s="219"/>
      <c r="AD16" s="219"/>
      <c r="AE16" s="219"/>
      <c r="AG16" s="220"/>
      <c r="AH16" s="221"/>
      <c r="AI16" s="222"/>
      <c r="AJ16" s="222"/>
      <c r="AK16" s="219"/>
      <c r="AL16" s="219"/>
      <c r="AM16" s="219"/>
      <c r="AN16" s="219"/>
      <c r="AO16" s="219"/>
    </row>
    <row r="17" spans="1:41" s="4" customFormat="1" ht="20" customHeight="1">
      <c r="A17" s="1157"/>
      <c r="B17" s="1170"/>
      <c r="C17" s="1171"/>
      <c r="D17" s="1171"/>
      <c r="E17" s="1171"/>
      <c r="F17" s="1171"/>
      <c r="G17" s="1171"/>
      <c r="H17" s="1171"/>
      <c r="I17" s="1172"/>
      <c r="J17" s="575"/>
      <c r="K17" s="391"/>
      <c r="L17" s="235"/>
      <c r="M17" s="220"/>
      <c r="N17" s="221"/>
      <c r="O17" s="222"/>
      <c r="P17" s="222"/>
      <c r="Q17" s="219"/>
      <c r="R17" s="219"/>
      <c r="S17" s="219"/>
      <c r="T17" s="219"/>
      <c r="U17" s="219"/>
      <c r="W17" s="220"/>
      <c r="X17" s="221"/>
      <c r="Y17" s="222"/>
      <c r="Z17" s="222"/>
      <c r="AA17" s="219"/>
      <c r="AB17" s="219"/>
      <c r="AC17" s="219"/>
      <c r="AD17" s="219"/>
      <c r="AE17" s="219"/>
      <c r="AG17" s="220"/>
      <c r="AH17" s="221"/>
      <c r="AI17" s="222"/>
      <c r="AJ17" s="222"/>
      <c r="AK17" s="219"/>
      <c r="AL17" s="219"/>
      <c r="AM17" s="219"/>
      <c r="AN17" s="219"/>
      <c r="AO17" s="219"/>
    </row>
    <row r="18" spans="1:41" s="4" customFormat="1" ht="20" customHeight="1">
      <c r="A18" s="1157"/>
      <c r="B18" s="1170"/>
      <c r="C18" s="1171"/>
      <c r="D18" s="1171"/>
      <c r="E18" s="1171"/>
      <c r="F18" s="1171"/>
      <c r="G18" s="1171"/>
      <c r="H18" s="1171"/>
      <c r="I18" s="1172"/>
      <c r="J18" s="575"/>
      <c r="K18" s="391"/>
      <c r="L18" s="235"/>
      <c r="M18" s="220"/>
      <c r="N18" s="221"/>
      <c r="O18" s="222"/>
      <c r="P18" s="222"/>
      <c r="Q18" s="219"/>
      <c r="R18" s="219"/>
      <c r="S18" s="219"/>
      <c r="T18" s="219"/>
      <c r="U18" s="219"/>
      <c r="W18" s="220"/>
      <c r="X18" s="221"/>
      <c r="Y18" s="222"/>
      <c r="Z18" s="222"/>
      <c r="AA18" s="219"/>
      <c r="AB18" s="219"/>
      <c r="AC18" s="219"/>
      <c r="AD18" s="219"/>
      <c r="AE18" s="219"/>
      <c r="AG18" s="220"/>
      <c r="AH18" s="221"/>
      <c r="AI18" s="222"/>
      <c r="AJ18" s="222"/>
      <c r="AK18" s="219"/>
      <c r="AL18" s="219"/>
      <c r="AM18" s="219"/>
      <c r="AN18" s="219"/>
      <c r="AO18" s="219"/>
    </row>
    <row r="19" spans="1:41" s="4" customFormat="1" ht="20" customHeight="1">
      <c r="A19" s="1157"/>
      <c r="B19" s="1170"/>
      <c r="C19" s="1171"/>
      <c r="D19" s="1171"/>
      <c r="E19" s="1171"/>
      <c r="F19" s="1171"/>
      <c r="G19" s="1171"/>
      <c r="H19" s="1171"/>
      <c r="I19" s="1172"/>
      <c r="J19" s="575"/>
      <c r="K19" s="391"/>
      <c r="L19" s="235"/>
      <c r="M19" s="220"/>
      <c r="N19" s="221"/>
      <c r="O19" s="222"/>
      <c r="P19" s="222"/>
      <c r="Q19" s="219"/>
      <c r="R19" s="219"/>
      <c r="S19" s="219"/>
      <c r="T19" s="219"/>
      <c r="U19" s="219"/>
      <c r="W19" s="220"/>
      <c r="X19" s="221"/>
      <c r="Y19" s="222"/>
      <c r="Z19" s="222"/>
      <c r="AA19" s="219"/>
      <c r="AB19" s="219"/>
      <c r="AC19" s="219"/>
      <c r="AD19" s="219"/>
      <c r="AE19" s="219"/>
      <c r="AG19" s="220"/>
      <c r="AH19" s="221"/>
      <c r="AI19" s="222"/>
      <c r="AJ19" s="222"/>
      <c r="AK19" s="219"/>
      <c r="AL19" s="219"/>
      <c r="AM19" s="219"/>
      <c r="AN19" s="219"/>
      <c r="AO19" s="219"/>
    </row>
    <row r="20" spans="1:41" s="4" customFormat="1" ht="20" customHeight="1">
      <c r="A20" s="1157"/>
      <c r="B20" s="1170"/>
      <c r="C20" s="1171"/>
      <c r="D20" s="1171"/>
      <c r="E20" s="1171"/>
      <c r="F20" s="1171"/>
      <c r="G20" s="1171"/>
      <c r="H20" s="1171"/>
      <c r="I20" s="1172"/>
      <c r="J20" s="575"/>
      <c r="K20" s="391"/>
      <c r="L20" s="235"/>
      <c r="M20" s="220"/>
      <c r="N20" s="221"/>
      <c r="O20" s="222"/>
      <c r="P20" s="222"/>
      <c r="Q20" s="219"/>
      <c r="R20" s="219"/>
      <c r="S20" s="219"/>
      <c r="T20" s="219"/>
      <c r="U20" s="219"/>
      <c r="W20" s="220"/>
      <c r="X20" s="221"/>
      <c r="Y20" s="222"/>
      <c r="Z20" s="222"/>
      <c r="AA20" s="219"/>
      <c r="AB20" s="219"/>
      <c r="AC20" s="219"/>
      <c r="AD20" s="219"/>
      <c r="AE20" s="219"/>
      <c r="AG20" s="220"/>
      <c r="AH20" s="221"/>
      <c r="AI20" s="222"/>
      <c r="AJ20" s="222"/>
      <c r="AK20" s="219"/>
      <c r="AL20" s="219"/>
      <c r="AM20" s="219"/>
      <c r="AN20" s="219"/>
      <c r="AO20" s="219"/>
    </row>
    <row r="21" spans="1:41" s="4" customFormat="1" ht="20" customHeight="1">
      <c r="A21" s="1157"/>
      <c r="B21" s="1170"/>
      <c r="C21" s="1171"/>
      <c r="D21" s="1171"/>
      <c r="E21" s="1171"/>
      <c r="F21" s="1171"/>
      <c r="G21" s="1171"/>
      <c r="H21" s="1171"/>
      <c r="I21" s="1172"/>
      <c r="J21" s="575"/>
      <c r="K21" s="391"/>
      <c r="L21" s="235"/>
      <c r="M21" s="220"/>
      <c r="N21" s="221"/>
      <c r="O21" s="222"/>
      <c r="P21" s="222"/>
      <c r="Q21" s="219"/>
      <c r="R21" s="219"/>
      <c r="S21" s="219"/>
      <c r="T21" s="219"/>
      <c r="U21" s="219"/>
      <c r="W21" s="220"/>
      <c r="X21" s="221"/>
      <c r="Y21" s="222"/>
      <c r="Z21" s="222"/>
      <c r="AA21" s="219"/>
      <c r="AB21" s="219"/>
      <c r="AC21" s="219"/>
      <c r="AD21" s="219"/>
      <c r="AE21" s="219"/>
      <c r="AG21" s="220"/>
      <c r="AH21" s="221"/>
      <c r="AI21" s="222"/>
      <c r="AJ21" s="222"/>
      <c r="AK21" s="219"/>
      <c r="AL21" s="219"/>
      <c r="AM21" s="219"/>
      <c r="AN21" s="219"/>
      <c r="AO21" s="219"/>
    </row>
    <row r="22" spans="1:41" s="4" customFormat="1" ht="20" customHeight="1">
      <c r="A22" s="1157"/>
      <c r="B22" s="1170"/>
      <c r="C22" s="1171"/>
      <c r="D22" s="1171"/>
      <c r="E22" s="1171"/>
      <c r="F22" s="1171"/>
      <c r="G22" s="1171"/>
      <c r="H22" s="1171"/>
      <c r="I22" s="1172"/>
      <c r="J22" s="575"/>
      <c r="K22" s="391"/>
      <c r="L22" s="235"/>
      <c r="M22" s="220"/>
      <c r="N22" s="221"/>
      <c r="O22" s="222"/>
      <c r="P22" s="222"/>
      <c r="Q22" s="219"/>
      <c r="R22" s="219"/>
      <c r="S22" s="219"/>
      <c r="T22" s="219"/>
      <c r="U22" s="219"/>
      <c r="W22" s="220"/>
      <c r="X22" s="221"/>
      <c r="Y22" s="222"/>
      <c r="Z22" s="222"/>
      <c r="AA22" s="219"/>
      <c r="AB22" s="219"/>
      <c r="AC22" s="219"/>
      <c r="AD22" s="219"/>
      <c r="AE22" s="219"/>
      <c r="AG22" s="220"/>
      <c r="AH22" s="221"/>
      <c r="AI22" s="222"/>
      <c r="AJ22" s="222"/>
      <c r="AK22" s="219"/>
      <c r="AL22" s="219"/>
      <c r="AM22" s="219"/>
      <c r="AN22" s="219"/>
      <c r="AO22" s="219"/>
    </row>
    <row r="23" spans="1:41" s="4" customFormat="1" ht="20" customHeight="1">
      <c r="A23" s="1157"/>
      <c r="B23" s="1170"/>
      <c r="C23" s="1171"/>
      <c r="D23" s="1171"/>
      <c r="E23" s="1171"/>
      <c r="F23" s="1171"/>
      <c r="G23" s="1171"/>
      <c r="H23" s="1171"/>
      <c r="I23" s="1172"/>
      <c r="J23" s="575"/>
      <c r="K23" s="391"/>
      <c r="L23" s="235"/>
      <c r="M23" s="220"/>
      <c r="N23" s="221"/>
      <c r="O23" s="222"/>
      <c r="P23" s="222"/>
      <c r="Q23" s="219"/>
      <c r="R23" s="219"/>
      <c r="S23" s="219"/>
      <c r="T23" s="219"/>
      <c r="U23" s="219"/>
      <c r="W23" s="220"/>
      <c r="X23" s="221"/>
      <c r="Y23" s="222"/>
      <c r="Z23" s="222"/>
      <c r="AA23" s="219"/>
      <c r="AB23" s="219"/>
      <c r="AC23" s="219"/>
      <c r="AD23" s="219"/>
      <c r="AE23" s="219"/>
      <c r="AG23" s="220"/>
      <c r="AH23" s="221"/>
      <c r="AI23" s="222"/>
      <c r="AJ23" s="222"/>
      <c r="AK23" s="219"/>
      <c r="AL23" s="219"/>
      <c r="AM23" s="219"/>
      <c r="AN23" s="219"/>
      <c r="AO23" s="219"/>
    </row>
    <row r="24" spans="1:41" s="4" customFormat="1" ht="20" customHeight="1">
      <c r="A24" s="1157"/>
      <c r="B24" s="1170"/>
      <c r="C24" s="1171"/>
      <c r="D24" s="1171"/>
      <c r="E24" s="1171"/>
      <c r="F24" s="1171"/>
      <c r="G24" s="1171"/>
      <c r="H24" s="1171"/>
      <c r="I24" s="1172"/>
      <c r="J24" s="575"/>
      <c r="K24" s="391"/>
      <c r="L24" s="235"/>
      <c r="M24" s="220"/>
      <c r="N24" s="221"/>
      <c r="O24" s="222"/>
      <c r="P24" s="222"/>
      <c r="Q24" s="219"/>
      <c r="R24" s="219"/>
      <c r="S24" s="219"/>
      <c r="T24" s="219"/>
      <c r="U24" s="219"/>
      <c r="W24" s="220"/>
      <c r="X24" s="221"/>
      <c r="Y24" s="222"/>
      <c r="Z24" s="222"/>
      <c r="AA24" s="219"/>
      <c r="AB24" s="219"/>
      <c r="AC24" s="219"/>
      <c r="AD24" s="219"/>
      <c r="AE24" s="219"/>
      <c r="AG24" s="220"/>
      <c r="AH24" s="221"/>
      <c r="AI24" s="222"/>
      <c r="AJ24" s="222"/>
      <c r="AK24" s="219"/>
      <c r="AL24" s="219"/>
      <c r="AM24" s="219"/>
      <c r="AN24" s="219"/>
      <c r="AO24" s="219"/>
    </row>
    <row r="25" spans="1:41" s="4" customFormat="1" ht="20" customHeight="1">
      <c r="A25" s="1157"/>
      <c r="B25" s="1170"/>
      <c r="C25" s="1171"/>
      <c r="D25" s="1171"/>
      <c r="E25" s="1171"/>
      <c r="F25" s="1171"/>
      <c r="G25" s="1171"/>
      <c r="H25" s="1171"/>
      <c r="I25" s="1172"/>
      <c r="J25" s="575"/>
      <c r="K25" s="391"/>
      <c r="L25" s="235"/>
      <c r="M25" s="220"/>
      <c r="N25" s="221"/>
      <c r="O25" s="222"/>
      <c r="P25" s="222"/>
      <c r="Q25" s="219"/>
      <c r="R25" s="219"/>
      <c r="S25" s="219"/>
      <c r="T25" s="219"/>
      <c r="U25" s="219"/>
      <c r="W25" s="220"/>
      <c r="X25" s="221"/>
      <c r="Y25" s="222"/>
      <c r="Z25" s="222"/>
      <c r="AA25" s="219"/>
      <c r="AB25" s="219"/>
      <c r="AC25" s="219"/>
      <c r="AD25" s="219"/>
      <c r="AE25" s="219"/>
      <c r="AG25" s="220"/>
      <c r="AH25" s="221"/>
      <c r="AI25" s="222"/>
      <c r="AJ25" s="222"/>
      <c r="AK25" s="219"/>
      <c r="AL25" s="219"/>
      <c r="AM25" s="219"/>
      <c r="AN25" s="219"/>
      <c r="AO25" s="219"/>
    </row>
    <row r="26" spans="1:41" s="4" customFormat="1" ht="20" customHeight="1">
      <c r="A26" s="1157"/>
      <c r="B26" s="1170"/>
      <c r="C26" s="1171"/>
      <c r="D26" s="1171"/>
      <c r="E26" s="1171"/>
      <c r="F26" s="1171"/>
      <c r="G26" s="1171"/>
      <c r="H26" s="1171"/>
      <c r="I26" s="1172"/>
      <c r="J26" s="575"/>
      <c r="K26" s="391"/>
      <c r="L26" s="235"/>
      <c r="M26" s="220"/>
      <c r="N26" s="221"/>
      <c r="O26" s="222"/>
      <c r="P26" s="222"/>
      <c r="Q26" s="219"/>
      <c r="R26" s="219"/>
      <c r="S26" s="219"/>
      <c r="T26" s="219"/>
      <c r="U26" s="219"/>
      <c r="W26" s="220"/>
      <c r="X26" s="221"/>
      <c r="Y26" s="222"/>
      <c r="Z26" s="222"/>
      <c r="AA26" s="219"/>
      <c r="AB26" s="219"/>
      <c r="AC26" s="219"/>
      <c r="AD26" s="219"/>
      <c r="AE26" s="219"/>
      <c r="AG26" s="220"/>
      <c r="AH26" s="221"/>
      <c r="AI26" s="222"/>
      <c r="AJ26" s="222"/>
      <c r="AK26" s="219"/>
      <c r="AL26" s="219"/>
      <c r="AM26" s="219"/>
      <c r="AN26" s="219"/>
      <c r="AO26" s="219"/>
    </row>
    <row r="27" spans="1:41" s="4" customFormat="1" ht="20" customHeight="1">
      <c r="A27" s="1157"/>
      <c r="B27" s="1170"/>
      <c r="C27" s="1171"/>
      <c r="D27" s="1171"/>
      <c r="E27" s="1171"/>
      <c r="F27" s="1171"/>
      <c r="G27" s="1171"/>
      <c r="H27" s="1171"/>
      <c r="I27" s="1172"/>
      <c r="J27" s="575"/>
      <c r="K27" s="391"/>
      <c r="L27" s="235"/>
      <c r="M27" s="220"/>
      <c r="N27" s="221"/>
      <c r="O27" s="222"/>
      <c r="P27" s="222"/>
      <c r="Q27" s="219"/>
      <c r="R27" s="219"/>
      <c r="S27" s="219"/>
      <c r="T27" s="219"/>
      <c r="U27" s="219"/>
      <c r="W27" s="220"/>
      <c r="X27" s="221"/>
      <c r="Y27" s="222"/>
      <c r="Z27" s="222"/>
      <c r="AA27" s="219"/>
      <c r="AB27" s="219"/>
      <c r="AC27" s="219"/>
      <c r="AD27" s="219"/>
      <c r="AE27" s="219"/>
      <c r="AG27" s="220"/>
      <c r="AH27" s="221"/>
      <c r="AI27" s="222"/>
      <c r="AJ27" s="222"/>
      <c r="AK27" s="219"/>
      <c r="AL27" s="219"/>
      <c r="AM27" s="219"/>
      <c r="AN27" s="219"/>
      <c r="AO27" s="219"/>
    </row>
    <row r="28" spans="1:41" s="4" customFormat="1" ht="20" customHeight="1">
      <c r="A28" s="1157"/>
      <c r="B28" s="1170"/>
      <c r="C28" s="1171"/>
      <c r="D28" s="1171"/>
      <c r="E28" s="1171"/>
      <c r="F28" s="1171"/>
      <c r="G28" s="1171"/>
      <c r="H28" s="1171"/>
      <c r="I28" s="1172"/>
      <c r="J28" s="575"/>
      <c r="K28" s="391"/>
      <c r="L28" s="235"/>
      <c r="M28" s="220"/>
      <c r="N28" s="221"/>
      <c r="O28" s="222"/>
      <c r="P28" s="222"/>
      <c r="Q28" s="219"/>
      <c r="R28" s="219"/>
      <c r="S28" s="219"/>
      <c r="T28" s="219"/>
      <c r="U28" s="219"/>
      <c r="W28" s="220"/>
      <c r="X28" s="221"/>
      <c r="Y28" s="222"/>
      <c r="Z28" s="222"/>
      <c r="AA28" s="219"/>
      <c r="AB28" s="219"/>
      <c r="AC28" s="219"/>
      <c r="AD28" s="219"/>
      <c r="AE28" s="219"/>
      <c r="AG28" s="220"/>
      <c r="AH28" s="221"/>
      <c r="AI28" s="222"/>
      <c r="AJ28" s="222"/>
      <c r="AK28" s="219"/>
      <c r="AL28" s="219"/>
      <c r="AM28" s="219"/>
      <c r="AN28" s="219"/>
      <c r="AO28" s="219"/>
    </row>
    <row r="29" spans="1:41" s="4" customFormat="1" ht="20" customHeight="1">
      <c r="A29" s="1157"/>
      <c r="B29" s="1170"/>
      <c r="C29" s="1171"/>
      <c r="D29" s="1171"/>
      <c r="E29" s="1171"/>
      <c r="F29" s="1171"/>
      <c r="G29" s="1171"/>
      <c r="H29" s="1171"/>
      <c r="I29" s="1172"/>
      <c r="J29" s="575"/>
      <c r="K29" s="391"/>
      <c r="L29" s="235"/>
      <c r="M29" s="220"/>
      <c r="N29" s="221"/>
      <c r="O29" s="222"/>
      <c r="P29" s="222"/>
      <c r="Q29" s="219"/>
      <c r="R29" s="219"/>
      <c r="S29" s="219"/>
      <c r="T29" s="219"/>
      <c r="U29" s="219"/>
      <c r="W29" s="220"/>
      <c r="X29" s="221"/>
      <c r="Y29" s="222"/>
      <c r="Z29" s="222"/>
      <c r="AA29" s="219"/>
      <c r="AB29" s="219"/>
      <c r="AC29" s="219"/>
      <c r="AD29" s="219"/>
      <c r="AE29" s="219"/>
      <c r="AG29" s="220"/>
      <c r="AH29" s="221"/>
      <c r="AI29" s="222"/>
      <c r="AJ29" s="222"/>
      <c r="AK29" s="219"/>
      <c r="AL29" s="219"/>
      <c r="AM29" s="219"/>
      <c r="AN29" s="219"/>
      <c r="AO29" s="219"/>
    </row>
    <row r="30" spans="1:41" s="4" customFormat="1" ht="20" customHeight="1" thickBot="1">
      <c r="A30" s="1157"/>
      <c r="B30" s="1170"/>
      <c r="C30" s="1171"/>
      <c r="D30" s="1171"/>
      <c r="E30" s="1171"/>
      <c r="F30" s="1171"/>
      <c r="G30" s="1171"/>
      <c r="H30" s="1171"/>
      <c r="I30" s="1172"/>
      <c r="J30" s="575"/>
      <c r="K30" s="392"/>
      <c r="L30" s="235"/>
      <c r="M30" s="220"/>
      <c r="N30" s="221"/>
      <c r="O30" s="222"/>
      <c r="P30" s="222"/>
      <c r="Q30" s="219"/>
      <c r="R30" s="219"/>
      <c r="S30" s="219"/>
      <c r="T30" s="219"/>
      <c r="U30" s="219"/>
      <c r="W30" s="220"/>
      <c r="X30" s="221"/>
      <c r="Y30" s="222"/>
      <c r="Z30" s="222"/>
      <c r="AA30" s="219"/>
      <c r="AB30" s="219"/>
      <c r="AC30" s="219"/>
      <c r="AD30" s="219"/>
      <c r="AE30" s="219"/>
      <c r="AG30" s="220"/>
      <c r="AH30" s="221"/>
      <c r="AI30" s="222"/>
      <c r="AJ30" s="222"/>
      <c r="AK30" s="219"/>
      <c r="AL30" s="219"/>
      <c r="AM30" s="219"/>
      <c r="AN30" s="219"/>
      <c r="AO30" s="219"/>
    </row>
    <row r="31" spans="1:41" s="274" customFormat="1" ht="30" customHeight="1" thickBot="1">
      <c r="A31" s="1157"/>
      <c r="B31" s="1178" t="s">
        <v>244</v>
      </c>
      <c r="C31" s="1179"/>
      <c r="D31" s="1179"/>
      <c r="E31" s="1179"/>
      <c r="F31" s="1179"/>
      <c r="G31" s="1179"/>
      <c r="H31" s="1179"/>
      <c r="I31" s="1179"/>
      <c r="J31" s="1180"/>
      <c r="K31" s="444">
        <f>SUM(K8:K30)</f>
        <v>0</v>
      </c>
      <c r="L31" s="269"/>
      <c r="M31" s="270"/>
      <c r="N31" s="271"/>
      <c r="O31" s="272"/>
      <c r="P31" s="272"/>
      <c r="Q31" s="273"/>
      <c r="R31" s="273"/>
      <c r="S31" s="273"/>
      <c r="T31" s="273"/>
      <c r="U31" s="273"/>
      <c r="W31" s="270"/>
      <c r="X31" s="271"/>
      <c r="Y31" s="272"/>
      <c r="Z31" s="272"/>
      <c r="AA31" s="273"/>
      <c r="AB31" s="273"/>
      <c r="AC31" s="273"/>
      <c r="AD31" s="273"/>
      <c r="AE31" s="273"/>
      <c r="AG31" s="270"/>
      <c r="AH31" s="271"/>
      <c r="AI31" s="272"/>
      <c r="AJ31" s="272"/>
      <c r="AK31" s="273"/>
      <c r="AL31" s="273"/>
      <c r="AM31" s="273"/>
      <c r="AN31" s="273"/>
      <c r="AO31" s="273"/>
    </row>
    <row r="32" spans="1:41" s="4" customFormat="1" ht="47" customHeight="1" thickBot="1">
      <c r="A32" s="1157"/>
      <c r="B32" s="1166" t="s">
        <v>619</v>
      </c>
      <c r="C32" s="1167"/>
      <c r="D32" s="1167"/>
      <c r="E32" s="1167"/>
      <c r="F32" s="1167"/>
      <c r="G32" s="1167"/>
      <c r="H32" s="1167"/>
      <c r="I32" s="1168" t="s">
        <v>541</v>
      </c>
      <c r="J32" s="1169"/>
      <c r="K32" s="388">
        <f>K5-K31</f>
        <v>0</v>
      </c>
      <c r="L32" s="235"/>
      <c r="M32" s="220"/>
      <c r="N32" s="221"/>
      <c r="O32" s="222"/>
      <c r="P32" s="222"/>
      <c r="Q32" s="219"/>
      <c r="R32" s="219"/>
      <c r="S32" s="219"/>
      <c r="T32" s="219"/>
      <c r="U32" s="219"/>
      <c r="W32" s="220"/>
      <c r="X32" s="221"/>
      <c r="Y32" s="222"/>
      <c r="Z32" s="222"/>
      <c r="AA32" s="219"/>
      <c r="AB32" s="219"/>
      <c r="AC32" s="219"/>
      <c r="AD32" s="219"/>
      <c r="AE32" s="219"/>
      <c r="AG32" s="220"/>
      <c r="AH32" s="221"/>
      <c r="AI32" s="222"/>
      <c r="AJ32" s="222"/>
      <c r="AK32" s="219"/>
      <c r="AL32" s="219"/>
      <c r="AM32" s="219"/>
      <c r="AN32" s="219"/>
      <c r="AO32" s="219"/>
    </row>
    <row r="33" spans="1:41" s="4" customFormat="1" ht="137" customHeight="1" thickBot="1">
      <c r="A33" s="1157"/>
      <c r="B33" s="1148" t="s">
        <v>620</v>
      </c>
      <c r="C33" s="1149"/>
      <c r="D33" s="1149"/>
      <c r="E33" s="1149"/>
      <c r="F33" s="1149"/>
      <c r="G33" s="1149"/>
      <c r="H33" s="1149"/>
      <c r="I33" s="1149"/>
      <c r="J33" s="1149"/>
      <c r="K33" s="1150"/>
      <c r="L33" s="235"/>
      <c r="M33" s="220"/>
      <c r="N33" s="221"/>
      <c r="O33" s="222"/>
      <c r="P33" s="222"/>
      <c r="Q33" s="219"/>
      <c r="R33" s="219"/>
      <c r="S33" s="219"/>
      <c r="T33" s="219"/>
      <c r="U33" s="219"/>
      <c r="W33" s="220"/>
      <c r="X33" s="221"/>
      <c r="Y33" s="222"/>
      <c r="Z33" s="222"/>
      <c r="AA33" s="219"/>
      <c r="AB33" s="219"/>
      <c r="AC33" s="219"/>
      <c r="AD33" s="219"/>
      <c r="AE33" s="219"/>
      <c r="AG33" s="220"/>
      <c r="AH33" s="221"/>
      <c r="AI33" s="222"/>
      <c r="AJ33" s="222"/>
      <c r="AK33" s="219"/>
      <c r="AL33" s="219"/>
      <c r="AM33" s="219"/>
      <c r="AN33" s="219"/>
      <c r="AO33" s="219"/>
    </row>
    <row r="34" spans="1:41" s="4" customFormat="1" ht="20" customHeight="1">
      <c r="A34" s="1157"/>
      <c r="B34" s="1163"/>
      <c r="C34" s="1164"/>
      <c r="D34" s="1164"/>
      <c r="E34" s="1164"/>
      <c r="F34" s="1164"/>
      <c r="G34" s="1164"/>
      <c r="H34" s="1164"/>
      <c r="I34" s="1164"/>
      <c r="J34" s="1164"/>
      <c r="K34" s="1165"/>
      <c r="L34" s="235"/>
      <c r="M34" s="220"/>
      <c r="N34" s="221"/>
      <c r="O34" s="222"/>
      <c r="P34" s="222"/>
      <c r="Q34" s="219"/>
      <c r="R34" s="219"/>
      <c r="S34" s="219"/>
      <c r="T34" s="219"/>
      <c r="U34" s="219"/>
      <c r="W34" s="220"/>
      <c r="X34" s="221"/>
      <c r="Y34" s="222"/>
      <c r="Z34" s="222"/>
      <c r="AA34" s="219"/>
      <c r="AB34" s="219"/>
      <c r="AC34" s="219"/>
      <c r="AD34" s="219"/>
      <c r="AE34" s="219"/>
      <c r="AG34" s="220"/>
      <c r="AH34" s="221"/>
      <c r="AI34" s="222"/>
      <c r="AJ34" s="222"/>
      <c r="AK34" s="219"/>
      <c r="AL34" s="219"/>
      <c r="AM34" s="219"/>
      <c r="AN34" s="219"/>
      <c r="AO34" s="219"/>
    </row>
    <row r="35" spans="1:41" s="4" customFormat="1" ht="20" customHeight="1">
      <c r="A35" s="1157"/>
      <c r="B35" s="1175"/>
      <c r="C35" s="1176"/>
      <c r="D35" s="1176"/>
      <c r="E35" s="1176"/>
      <c r="F35" s="1176"/>
      <c r="G35" s="1176"/>
      <c r="H35" s="1176"/>
      <c r="I35" s="1176"/>
      <c r="J35" s="1176"/>
      <c r="K35" s="1177"/>
      <c r="L35" s="235"/>
      <c r="M35" s="220"/>
      <c r="N35" s="221"/>
      <c r="O35" s="222"/>
      <c r="P35" s="222"/>
      <c r="Q35" s="219"/>
      <c r="R35" s="219"/>
      <c r="S35" s="219"/>
      <c r="T35" s="219"/>
      <c r="U35" s="219"/>
      <c r="W35" s="220"/>
      <c r="X35" s="221"/>
      <c r="Y35" s="222"/>
      <c r="Z35" s="222"/>
      <c r="AA35" s="219"/>
      <c r="AB35" s="219"/>
      <c r="AC35" s="219"/>
      <c r="AD35" s="219"/>
      <c r="AE35" s="219"/>
      <c r="AG35" s="220"/>
      <c r="AH35" s="221"/>
      <c r="AI35" s="222"/>
      <c r="AJ35" s="222"/>
      <c r="AK35" s="219"/>
      <c r="AL35" s="219"/>
      <c r="AM35" s="219"/>
      <c r="AN35" s="219"/>
      <c r="AO35" s="219"/>
    </row>
    <row r="36" spans="1:41" s="4" customFormat="1" ht="20" customHeight="1">
      <c r="A36" s="1157"/>
      <c r="B36" s="1175"/>
      <c r="C36" s="1176"/>
      <c r="D36" s="1176"/>
      <c r="E36" s="1176"/>
      <c r="F36" s="1176"/>
      <c r="G36" s="1176"/>
      <c r="H36" s="1176"/>
      <c r="I36" s="1176"/>
      <c r="J36" s="1176"/>
      <c r="K36" s="1177"/>
      <c r="L36" s="235"/>
      <c r="M36" s="220"/>
      <c r="N36" s="221"/>
      <c r="O36" s="222"/>
      <c r="P36" s="222"/>
      <c r="Q36" s="219"/>
      <c r="R36" s="219"/>
      <c r="S36" s="219"/>
      <c r="T36" s="219"/>
      <c r="U36" s="219"/>
      <c r="W36" s="220"/>
      <c r="X36" s="221"/>
      <c r="Y36" s="222"/>
      <c r="Z36" s="222"/>
      <c r="AA36" s="219"/>
      <c r="AB36" s="219"/>
      <c r="AC36" s="219"/>
      <c r="AD36" s="219"/>
      <c r="AE36" s="219"/>
      <c r="AG36" s="220"/>
      <c r="AH36" s="221"/>
      <c r="AI36" s="222"/>
      <c r="AJ36" s="222"/>
      <c r="AK36" s="219"/>
      <c r="AL36" s="219"/>
      <c r="AM36" s="219"/>
      <c r="AN36" s="219"/>
      <c r="AO36" s="219"/>
    </row>
    <row r="37" spans="1:41" s="4" customFormat="1" ht="20" customHeight="1">
      <c r="A37" s="1157"/>
      <c r="B37" s="1175"/>
      <c r="C37" s="1176"/>
      <c r="D37" s="1176"/>
      <c r="E37" s="1176"/>
      <c r="F37" s="1176"/>
      <c r="G37" s="1176"/>
      <c r="H37" s="1176"/>
      <c r="I37" s="1176"/>
      <c r="J37" s="1176"/>
      <c r="K37" s="1177"/>
      <c r="L37" s="235"/>
      <c r="M37" s="220"/>
      <c r="N37" s="221"/>
      <c r="O37" s="222"/>
      <c r="P37" s="222"/>
      <c r="Q37" s="219"/>
      <c r="R37" s="219"/>
      <c r="S37" s="219"/>
      <c r="T37" s="219"/>
      <c r="U37" s="219"/>
      <c r="W37" s="220"/>
      <c r="X37" s="221"/>
      <c r="Y37" s="222"/>
      <c r="Z37" s="222"/>
      <c r="AA37" s="219"/>
      <c r="AB37" s="219"/>
      <c r="AC37" s="219"/>
      <c r="AD37" s="219"/>
      <c r="AE37" s="219"/>
      <c r="AG37" s="220"/>
      <c r="AH37" s="221"/>
      <c r="AI37" s="222"/>
      <c r="AJ37" s="222"/>
      <c r="AK37" s="219"/>
      <c r="AL37" s="219"/>
      <c r="AM37" s="219"/>
      <c r="AN37" s="219"/>
      <c r="AO37" s="219"/>
    </row>
    <row r="38" spans="1:41" s="4" customFormat="1" ht="20" customHeight="1">
      <c r="A38" s="1157"/>
      <c r="B38" s="1175"/>
      <c r="C38" s="1176"/>
      <c r="D38" s="1176"/>
      <c r="E38" s="1176"/>
      <c r="F38" s="1176"/>
      <c r="G38" s="1176"/>
      <c r="H38" s="1176"/>
      <c r="I38" s="1176"/>
      <c r="J38" s="1176"/>
      <c r="K38" s="1177"/>
      <c r="L38" s="235"/>
      <c r="M38" s="220"/>
      <c r="N38" s="221"/>
      <c r="O38" s="222"/>
      <c r="P38" s="222"/>
      <c r="Q38" s="219"/>
      <c r="R38" s="219"/>
      <c r="S38" s="219"/>
      <c r="T38" s="219"/>
      <c r="U38" s="219"/>
      <c r="W38" s="220"/>
      <c r="X38" s="221"/>
      <c r="Y38" s="222"/>
      <c r="Z38" s="222"/>
      <c r="AA38" s="219"/>
      <c r="AB38" s="219"/>
      <c r="AC38" s="219"/>
      <c r="AD38" s="219"/>
      <c r="AE38" s="219"/>
      <c r="AG38" s="220"/>
      <c r="AH38" s="221"/>
      <c r="AI38" s="222"/>
      <c r="AJ38" s="222"/>
      <c r="AK38" s="219"/>
      <c r="AL38" s="219"/>
      <c r="AM38" s="219"/>
      <c r="AN38" s="219"/>
      <c r="AO38" s="219"/>
    </row>
    <row r="39" spans="1:41" s="4" customFormat="1" ht="20" customHeight="1">
      <c r="A39" s="1157"/>
      <c r="B39" s="1175"/>
      <c r="C39" s="1176"/>
      <c r="D39" s="1176"/>
      <c r="E39" s="1176"/>
      <c r="F39" s="1176"/>
      <c r="G39" s="1176"/>
      <c r="H39" s="1176"/>
      <c r="I39" s="1176"/>
      <c r="J39" s="1176"/>
      <c r="K39" s="1177"/>
      <c r="L39" s="235"/>
      <c r="M39" s="220"/>
      <c r="N39" s="221"/>
      <c r="O39" s="222"/>
      <c r="P39" s="222"/>
      <c r="Q39" s="219"/>
      <c r="R39" s="219"/>
      <c r="S39" s="219"/>
      <c r="T39" s="219"/>
      <c r="U39" s="219"/>
      <c r="W39" s="220"/>
      <c r="X39" s="221"/>
      <c r="Y39" s="222"/>
      <c r="Z39" s="222"/>
      <c r="AA39" s="219"/>
      <c r="AB39" s="219"/>
      <c r="AC39" s="219"/>
      <c r="AD39" s="219"/>
      <c r="AE39" s="219"/>
      <c r="AG39" s="220"/>
      <c r="AH39" s="221"/>
      <c r="AI39" s="222"/>
      <c r="AJ39" s="222"/>
      <c r="AK39" s="219"/>
      <c r="AL39" s="219"/>
      <c r="AM39" s="219"/>
      <c r="AN39" s="219"/>
      <c r="AO39" s="219"/>
    </row>
    <row r="40" spans="1:41" s="4" customFormat="1" ht="20" customHeight="1">
      <c r="A40" s="1157"/>
      <c r="B40" s="1175"/>
      <c r="C40" s="1176"/>
      <c r="D40" s="1176"/>
      <c r="E40" s="1176"/>
      <c r="F40" s="1176"/>
      <c r="G40" s="1176"/>
      <c r="H40" s="1176"/>
      <c r="I40" s="1176"/>
      <c r="J40" s="1176"/>
      <c r="K40" s="1177"/>
      <c r="L40" s="235"/>
      <c r="M40" s="220"/>
      <c r="N40" s="221"/>
      <c r="O40" s="222"/>
      <c r="P40" s="222"/>
      <c r="Q40" s="219"/>
      <c r="R40" s="219"/>
      <c r="S40" s="219"/>
      <c r="T40" s="219"/>
      <c r="U40" s="219"/>
      <c r="W40" s="220"/>
      <c r="X40" s="221"/>
      <c r="Y40" s="222"/>
      <c r="Z40" s="222"/>
      <c r="AA40" s="219"/>
      <c r="AB40" s="219"/>
      <c r="AC40" s="219"/>
      <c r="AD40" s="219"/>
      <c r="AE40" s="219"/>
      <c r="AG40" s="220"/>
      <c r="AH40" s="221"/>
      <c r="AI40" s="222"/>
      <c r="AJ40" s="222"/>
      <c r="AK40" s="219"/>
      <c r="AL40" s="219"/>
      <c r="AM40" s="219"/>
      <c r="AN40" s="219"/>
      <c r="AO40" s="219"/>
    </row>
    <row r="41" spans="1:41" s="4" customFormat="1" ht="20" customHeight="1">
      <c r="A41" s="1157"/>
      <c r="B41" s="1175"/>
      <c r="C41" s="1176"/>
      <c r="D41" s="1176"/>
      <c r="E41" s="1176"/>
      <c r="F41" s="1176"/>
      <c r="G41" s="1176"/>
      <c r="H41" s="1176"/>
      <c r="I41" s="1176"/>
      <c r="J41" s="1176"/>
      <c r="K41" s="1177"/>
      <c r="L41" s="235"/>
      <c r="M41" s="220"/>
      <c r="N41" s="221"/>
      <c r="O41" s="222"/>
      <c r="P41" s="222"/>
      <c r="Q41" s="219"/>
      <c r="R41" s="219"/>
      <c r="S41" s="219"/>
      <c r="T41" s="219"/>
      <c r="U41" s="219"/>
      <c r="W41" s="220"/>
      <c r="X41" s="221"/>
      <c r="Y41" s="222"/>
      <c r="Z41" s="222"/>
      <c r="AA41" s="219"/>
      <c r="AB41" s="219"/>
      <c r="AC41" s="219"/>
      <c r="AD41" s="219"/>
      <c r="AE41" s="219"/>
      <c r="AG41" s="220"/>
      <c r="AH41" s="221"/>
      <c r="AI41" s="222"/>
      <c r="AJ41" s="222"/>
      <c r="AK41" s="219"/>
      <c r="AL41" s="219"/>
      <c r="AM41" s="219"/>
      <c r="AN41" s="219"/>
      <c r="AO41" s="219"/>
    </row>
    <row r="42" spans="1:41" s="4" customFormat="1" ht="20" customHeight="1">
      <c r="A42" s="1157"/>
      <c r="B42" s="1175"/>
      <c r="C42" s="1176"/>
      <c r="D42" s="1176"/>
      <c r="E42" s="1176"/>
      <c r="F42" s="1176"/>
      <c r="G42" s="1176"/>
      <c r="H42" s="1176"/>
      <c r="I42" s="1176"/>
      <c r="J42" s="1176"/>
      <c r="K42" s="1177"/>
      <c r="L42" s="235"/>
      <c r="M42" s="220"/>
      <c r="N42" s="221"/>
      <c r="O42" s="222"/>
      <c r="P42" s="222"/>
      <c r="Q42" s="219"/>
      <c r="R42" s="219"/>
      <c r="S42" s="219"/>
      <c r="T42" s="219"/>
      <c r="U42" s="219"/>
      <c r="W42" s="220"/>
      <c r="X42" s="221"/>
      <c r="Y42" s="222"/>
      <c r="Z42" s="222"/>
      <c r="AA42" s="219"/>
      <c r="AB42" s="219"/>
      <c r="AC42" s="219"/>
      <c r="AD42" s="219"/>
      <c r="AE42" s="219"/>
      <c r="AG42" s="220"/>
      <c r="AH42" s="221"/>
      <c r="AI42" s="222"/>
      <c r="AJ42" s="222"/>
      <c r="AK42" s="219"/>
      <c r="AL42" s="219"/>
      <c r="AM42" s="219"/>
      <c r="AN42" s="219"/>
      <c r="AO42" s="219"/>
    </row>
    <row r="43" spans="1:41" s="4" customFormat="1" ht="20" customHeight="1">
      <c r="A43" s="1157"/>
      <c r="B43" s="1175"/>
      <c r="C43" s="1176"/>
      <c r="D43" s="1176"/>
      <c r="E43" s="1176"/>
      <c r="F43" s="1176"/>
      <c r="G43" s="1176"/>
      <c r="H43" s="1176"/>
      <c r="I43" s="1176"/>
      <c r="J43" s="1176"/>
      <c r="K43" s="1177"/>
      <c r="L43" s="235"/>
      <c r="M43" s="220"/>
      <c r="N43" s="221"/>
      <c r="O43" s="222"/>
      <c r="P43" s="222"/>
      <c r="Q43" s="219"/>
      <c r="R43" s="219"/>
      <c r="S43" s="219"/>
      <c r="T43" s="219"/>
      <c r="U43" s="219"/>
      <c r="W43" s="220"/>
      <c r="X43" s="221"/>
      <c r="Y43" s="222"/>
      <c r="Z43" s="222"/>
      <c r="AA43" s="219"/>
      <c r="AB43" s="219"/>
      <c r="AC43" s="219"/>
      <c r="AD43" s="219"/>
      <c r="AE43" s="219"/>
      <c r="AG43" s="220"/>
      <c r="AH43" s="221"/>
      <c r="AI43" s="222"/>
      <c r="AJ43" s="222"/>
      <c r="AK43" s="219"/>
      <c r="AL43" s="219"/>
      <c r="AM43" s="219"/>
      <c r="AN43" s="219"/>
      <c r="AO43" s="219"/>
    </row>
    <row r="44" spans="1:41" s="4" customFormat="1" ht="20" customHeight="1">
      <c r="A44" s="1157"/>
      <c r="B44" s="1175"/>
      <c r="C44" s="1176"/>
      <c r="D44" s="1176"/>
      <c r="E44" s="1176"/>
      <c r="F44" s="1176"/>
      <c r="G44" s="1176"/>
      <c r="H44" s="1176"/>
      <c r="I44" s="1176"/>
      <c r="J44" s="1176"/>
      <c r="K44" s="1177"/>
      <c r="L44" s="235"/>
      <c r="M44" s="220"/>
      <c r="N44" s="221"/>
      <c r="O44" s="222"/>
      <c r="P44" s="222"/>
      <c r="Q44" s="219"/>
      <c r="R44" s="219"/>
      <c r="S44" s="219"/>
      <c r="T44" s="219"/>
      <c r="U44" s="219"/>
      <c r="W44" s="220"/>
      <c r="X44" s="221"/>
      <c r="Y44" s="222"/>
      <c r="Z44" s="222"/>
      <c r="AA44" s="219"/>
      <c r="AB44" s="219"/>
      <c r="AC44" s="219"/>
      <c r="AD44" s="219"/>
      <c r="AE44" s="219"/>
      <c r="AG44" s="220"/>
      <c r="AH44" s="221"/>
      <c r="AI44" s="222"/>
      <c r="AJ44" s="222"/>
      <c r="AK44" s="219"/>
      <c r="AL44" s="219"/>
      <c r="AM44" s="219"/>
      <c r="AN44" s="219"/>
      <c r="AO44" s="219"/>
    </row>
    <row r="45" spans="1:41" s="4" customFormat="1" ht="20" customHeight="1">
      <c r="A45" s="1157"/>
      <c r="B45" s="1175"/>
      <c r="C45" s="1176"/>
      <c r="D45" s="1176"/>
      <c r="E45" s="1176"/>
      <c r="F45" s="1176"/>
      <c r="G45" s="1176"/>
      <c r="H45" s="1176"/>
      <c r="I45" s="1176"/>
      <c r="J45" s="1176"/>
      <c r="K45" s="1177"/>
      <c r="L45" s="235"/>
      <c r="M45" s="220"/>
      <c r="N45" s="221"/>
      <c r="O45" s="222"/>
      <c r="P45" s="222"/>
      <c r="Q45" s="219"/>
      <c r="R45" s="219"/>
      <c r="S45" s="219"/>
      <c r="T45" s="219"/>
      <c r="U45" s="219"/>
      <c r="W45" s="220"/>
      <c r="X45" s="221"/>
      <c r="Y45" s="222"/>
      <c r="Z45" s="222"/>
      <c r="AA45" s="219"/>
      <c r="AB45" s="219"/>
      <c r="AC45" s="219"/>
      <c r="AD45" s="219"/>
      <c r="AE45" s="219"/>
      <c r="AG45" s="220"/>
      <c r="AH45" s="221"/>
      <c r="AI45" s="222"/>
      <c r="AJ45" s="222"/>
      <c r="AK45" s="219"/>
      <c r="AL45" s="219"/>
      <c r="AM45" s="219"/>
      <c r="AN45" s="219"/>
      <c r="AO45" s="219"/>
    </row>
    <row r="46" spans="1:41" s="4" customFormat="1" ht="20" customHeight="1">
      <c r="A46" s="1157"/>
      <c r="B46" s="1175"/>
      <c r="C46" s="1176"/>
      <c r="D46" s="1176"/>
      <c r="E46" s="1176"/>
      <c r="F46" s="1176"/>
      <c r="G46" s="1176"/>
      <c r="H46" s="1176"/>
      <c r="I46" s="1176"/>
      <c r="J46" s="1176"/>
      <c r="K46" s="1177"/>
      <c r="L46" s="235"/>
      <c r="M46" s="220"/>
      <c r="N46" s="221"/>
      <c r="O46" s="222"/>
      <c r="P46" s="222"/>
      <c r="Q46" s="219"/>
      <c r="R46" s="219"/>
      <c r="S46" s="219"/>
      <c r="T46" s="219"/>
      <c r="U46" s="219"/>
      <c r="W46" s="220"/>
      <c r="X46" s="221"/>
      <c r="Y46" s="222"/>
      <c r="Z46" s="222"/>
      <c r="AA46" s="219"/>
      <c r="AB46" s="219"/>
      <c r="AC46" s="219"/>
      <c r="AD46" s="219"/>
      <c r="AE46" s="219"/>
      <c r="AG46" s="220"/>
      <c r="AH46" s="221"/>
      <c r="AI46" s="222"/>
      <c r="AJ46" s="222"/>
      <c r="AK46" s="219"/>
      <c r="AL46" s="219"/>
      <c r="AM46" s="219"/>
      <c r="AN46" s="219"/>
      <c r="AO46" s="219"/>
    </row>
    <row r="47" spans="1:41" s="4" customFormat="1" ht="20" customHeight="1">
      <c r="A47" s="1157"/>
      <c r="B47" s="1175"/>
      <c r="C47" s="1176"/>
      <c r="D47" s="1176"/>
      <c r="E47" s="1176"/>
      <c r="F47" s="1176"/>
      <c r="G47" s="1176"/>
      <c r="H47" s="1176"/>
      <c r="I47" s="1176"/>
      <c r="J47" s="1176"/>
      <c r="K47" s="1177"/>
      <c r="L47" s="235"/>
      <c r="M47" s="220"/>
      <c r="N47" s="221"/>
      <c r="O47" s="222"/>
      <c r="P47" s="222"/>
      <c r="Q47" s="219"/>
      <c r="R47" s="219"/>
      <c r="S47" s="219"/>
      <c r="T47" s="219"/>
      <c r="U47" s="219"/>
      <c r="W47" s="220"/>
      <c r="X47" s="221"/>
      <c r="Y47" s="222"/>
      <c r="Z47" s="222"/>
      <c r="AA47" s="219"/>
      <c r="AB47" s="219"/>
      <c r="AC47" s="219"/>
      <c r="AD47" s="219"/>
      <c r="AE47" s="219"/>
      <c r="AG47" s="220"/>
      <c r="AH47" s="221"/>
      <c r="AI47" s="222"/>
      <c r="AJ47" s="222"/>
      <c r="AK47" s="219"/>
      <c r="AL47" s="219"/>
      <c r="AM47" s="219"/>
      <c r="AN47" s="219"/>
      <c r="AO47" s="219"/>
    </row>
    <row r="48" spans="1:41" s="4" customFormat="1" ht="20" customHeight="1">
      <c r="A48" s="1157"/>
      <c r="B48" s="1175"/>
      <c r="C48" s="1176"/>
      <c r="D48" s="1176"/>
      <c r="E48" s="1176"/>
      <c r="F48" s="1176"/>
      <c r="G48" s="1176"/>
      <c r="H48" s="1176"/>
      <c r="I48" s="1176"/>
      <c r="J48" s="1176"/>
      <c r="K48" s="1177"/>
      <c r="L48" s="235"/>
      <c r="M48" s="220"/>
      <c r="N48" s="221"/>
      <c r="O48" s="222"/>
      <c r="P48" s="222"/>
      <c r="Q48" s="219"/>
      <c r="R48" s="219"/>
      <c r="S48" s="219"/>
      <c r="T48" s="219"/>
      <c r="U48" s="219"/>
      <c r="W48" s="220"/>
      <c r="X48" s="221"/>
      <c r="Y48" s="222"/>
      <c r="Z48" s="222"/>
      <c r="AA48" s="219"/>
      <c r="AB48" s="219"/>
      <c r="AC48" s="219"/>
      <c r="AD48" s="219"/>
      <c r="AE48" s="219"/>
      <c r="AG48" s="220"/>
      <c r="AH48" s="221"/>
      <c r="AI48" s="222"/>
      <c r="AJ48" s="222"/>
      <c r="AK48" s="219"/>
      <c r="AL48" s="219"/>
      <c r="AM48" s="219"/>
      <c r="AN48" s="219"/>
      <c r="AO48" s="219"/>
    </row>
    <row r="49" spans="1:41" s="4" customFormat="1" ht="20" customHeight="1" thickBot="1">
      <c r="A49" s="1157"/>
      <c r="B49" s="1175"/>
      <c r="C49" s="1176"/>
      <c r="D49" s="1176"/>
      <c r="E49" s="1176"/>
      <c r="F49" s="1176"/>
      <c r="G49" s="1176"/>
      <c r="H49" s="1176"/>
      <c r="I49" s="1176"/>
      <c r="J49" s="1176"/>
      <c r="K49" s="1177"/>
      <c r="L49" s="235"/>
      <c r="M49" s="220"/>
      <c r="N49" s="221"/>
      <c r="O49" s="222"/>
      <c r="P49" s="222"/>
      <c r="Q49" s="219"/>
      <c r="R49" s="219"/>
      <c r="S49" s="219"/>
      <c r="T49" s="219"/>
      <c r="U49" s="219"/>
      <c r="W49" s="220"/>
      <c r="X49" s="221"/>
      <c r="Y49" s="222"/>
      <c r="Z49" s="222"/>
      <c r="AA49" s="219"/>
      <c r="AB49" s="219"/>
      <c r="AC49" s="219"/>
      <c r="AD49" s="219"/>
      <c r="AE49" s="219"/>
      <c r="AG49" s="220"/>
      <c r="AH49" s="221"/>
      <c r="AI49" s="222"/>
      <c r="AJ49" s="222"/>
      <c r="AK49" s="219"/>
      <c r="AL49" s="219"/>
      <c r="AM49" s="219"/>
      <c r="AN49" s="219"/>
      <c r="AO49" s="219"/>
    </row>
    <row r="50" spans="1:41" s="4" customFormat="1" ht="31" customHeight="1" thickBot="1">
      <c r="A50" s="1157"/>
      <c r="B50" s="1161" t="s">
        <v>504</v>
      </c>
      <c r="C50" s="1162"/>
      <c r="D50" s="1162"/>
      <c r="E50" s="1162"/>
      <c r="F50" s="1162"/>
      <c r="G50" s="1162"/>
      <c r="H50" s="1162"/>
      <c r="I50" s="1162"/>
      <c r="J50" s="1162"/>
      <c r="K50" s="443">
        <f>Arbejdstidsoversigt!J30</f>
        <v>0</v>
      </c>
      <c r="L50" s="235"/>
      <c r="M50" s="220"/>
      <c r="N50" s="221"/>
      <c r="O50" s="222"/>
      <c r="P50" s="222"/>
      <c r="Q50" s="219"/>
      <c r="R50" s="219"/>
      <c r="S50" s="219"/>
      <c r="T50" s="219"/>
      <c r="U50" s="219"/>
      <c r="W50" s="220"/>
      <c r="X50" s="221"/>
      <c r="Y50" s="222"/>
      <c r="Z50" s="222"/>
      <c r="AA50" s="219"/>
      <c r="AB50" s="219"/>
      <c r="AC50" s="219"/>
      <c r="AD50" s="219"/>
      <c r="AE50" s="219"/>
      <c r="AG50" s="220"/>
      <c r="AH50" s="221"/>
      <c r="AI50" s="222"/>
      <c r="AJ50" s="222"/>
      <c r="AK50" s="219"/>
      <c r="AL50" s="219"/>
      <c r="AM50" s="219"/>
      <c r="AN50" s="219"/>
      <c r="AO50" s="219"/>
    </row>
    <row r="51" spans="1:41" s="4" customFormat="1" ht="40" customHeight="1">
      <c r="A51" s="1157"/>
      <c r="B51" s="1159" t="s">
        <v>303</v>
      </c>
      <c r="C51" s="1160"/>
      <c r="D51" s="1160"/>
      <c r="E51" s="1160"/>
      <c r="F51" s="1160"/>
      <c r="G51" s="1160"/>
      <c r="H51" s="1160"/>
      <c r="I51" s="1160" t="s">
        <v>366</v>
      </c>
      <c r="J51" s="1160"/>
      <c r="K51" s="389" t="s">
        <v>238</v>
      </c>
      <c r="L51" s="235"/>
      <c r="M51" s="220"/>
      <c r="N51" s="221"/>
      <c r="O51" s="220"/>
      <c r="P51" s="221"/>
      <c r="Q51" s="220"/>
      <c r="R51" s="221"/>
      <c r="S51" s="220"/>
      <c r="T51" s="221"/>
      <c r="U51" s="220"/>
      <c r="V51" s="221"/>
      <c r="W51" s="220"/>
      <c r="X51" s="221"/>
      <c r="Y51" s="220"/>
      <c r="Z51" s="221"/>
      <c r="AA51" s="220"/>
      <c r="AB51" s="219"/>
      <c r="AC51" s="219"/>
      <c r="AD51" s="219"/>
      <c r="AE51" s="219"/>
      <c r="AG51" s="220"/>
      <c r="AH51" s="221"/>
      <c r="AI51" s="222"/>
      <c r="AJ51" s="222"/>
      <c r="AK51" s="219"/>
      <c r="AL51" s="219"/>
      <c r="AM51" s="219"/>
      <c r="AN51" s="219"/>
      <c r="AO51" s="219"/>
    </row>
    <row r="52" spans="1:41" s="4" customFormat="1" ht="20" customHeight="1">
      <c r="A52" s="1157"/>
      <c r="B52" s="1151">
        <f>Skemaoplysninger!A46</f>
        <v>0</v>
      </c>
      <c r="C52" s="1152"/>
      <c r="D52" s="1152"/>
      <c r="E52" s="1152"/>
      <c r="F52" s="1152"/>
      <c r="G52" s="1152"/>
      <c r="H52" s="1147"/>
      <c r="I52" s="1146">
        <f>Skemaoplysninger!G46</f>
        <v>0</v>
      </c>
      <c r="J52" s="1147"/>
      <c r="K52" s="441">
        <f>Skemaoplysninger!I46</f>
        <v>0</v>
      </c>
      <c r="L52" s="235"/>
      <c r="M52" s="220"/>
      <c r="N52" s="220"/>
      <c r="O52" s="220"/>
      <c r="P52" s="220"/>
      <c r="Q52" s="220"/>
      <c r="R52" s="220"/>
      <c r="S52" s="220"/>
      <c r="T52" s="220"/>
      <c r="U52" s="220"/>
      <c r="V52" s="220"/>
      <c r="W52" s="220"/>
      <c r="X52" s="220"/>
      <c r="Y52" s="220"/>
      <c r="Z52" s="220"/>
      <c r="AA52" s="220"/>
      <c r="AB52" s="219"/>
      <c r="AC52" s="219"/>
      <c r="AD52" s="219"/>
      <c r="AE52" s="219"/>
      <c r="AG52" s="220"/>
      <c r="AH52" s="221"/>
      <c r="AI52" s="222"/>
      <c r="AJ52" s="222"/>
      <c r="AK52" s="219"/>
      <c r="AL52" s="219"/>
      <c r="AM52" s="219"/>
      <c r="AN52" s="219"/>
      <c r="AO52" s="219"/>
    </row>
    <row r="53" spans="1:41" s="4" customFormat="1" ht="20" customHeight="1">
      <c r="A53" s="1157"/>
      <c r="B53" s="1151">
        <f>Skemaoplysninger!A47</f>
        <v>0</v>
      </c>
      <c r="C53" s="1152"/>
      <c r="D53" s="1152"/>
      <c r="E53" s="1152"/>
      <c r="F53" s="1152"/>
      <c r="G53" s="1152"/>
      <c r="H53" s="1147"/>
      <c r="I53" s="1146">
        <f>Skemaoplysninger!G47</f>
        <v>0</v>
      </c>
      <c r="J53" s="1147"/>
      <c r="K53" s="441">
        <f>Skemaoplysninger!I47</f>
        <v>0</v>
      </c>
      <c r="L53" s="235"/>
      <c r="M53" s="220"/>
      <c r="N53" s="220"/>
      <c r="O53" s="220"/>
      <c r="P53" s="220"/>
      <c r="Q53" s="220"/>
      <c r="R53" s="220"/>
      <c r="S53" s="220"/>
      <c r="T53" s="220"/>
      <c r="U53" s="220"/>
      <c r="V53" s="220"/>
      <c r="W53" s="220"/>
      <c r="X53" s="220"/>
      <c r="Y53" s="220"/>
      <c r="Z53" s="220"/>
      <c r="AA53" s="220"/>
      <c r="AB53" s="219"/>
      <c r="AC53" s="219"/>
      <c r="AD53" s="219"/>
      <c r="AE53" s="219"/>
      <c r="AG53" s="220"/>
      <c r="AH53" s="221"/>
      <c r="AI53" s="222"/>
      <c r="AJ53" s="222"/>
      <c r="AK53" s="219"/>
      <c r="AL53" s="219"/>
      <c r="AM53" s="219"/>
      <c r="AN53" s="219"/>
      <c r="AO53" s="219"/>
    </row>
    <row r="54" spans="1:41" s="4" customFormat="1" ht="20" customHeight="1">
      <c r="A54" s="1157"/>
      <c r="B54" s="1151">
        <f>Skemaoplysninger!A48</f>
        <v>0</v>
      </c>
      <c r="C54" s="1152"/>
      <c r="D54" s="1152"/>
      <c r="E54" s="1152"/>
      <c r="F54" s="1152"/>
      <c r="G54" s="1152"/>
      <c r="H54" s="1147"/>
      <c r="I54" s="1146">
        <f>Skemaoplysninger!G48</f>
        <v>0</v>
      </c>
      <c r="J54" s="1147"/>
      <c r="K54" s="441">
        <f>Skemaoplysninger!I48</f>
        <v>0</v>
      </c>
      <c r="L54" s="235"/>
      <c r="M54" s="220"/>
      <c r="N54" s="220"/>
      <c r="O54" s="220"/>
      <c r="P54" s="220"/>
      <c r="Q54" s="220"/>
      <c r="R54" s="220"/>
      <c r="S54" s="220"/>
      <c r="T54" s="220"/>
      <c r="U54" s="220"/>
      <c r="V54" s="220"/>
      <c r="W54" s="220"/>
      <c r="X54" s="220"/>
      <c r="Y54" s="220"/>
      <c r="Z54" s="220"/>
      <c r="AA54" s="220"/>
      <c r="AB54" s="219"/>
      <c r="AC54" s="219"/>
      <c r="AD54" s="219"/>
      <c r="AE54" s="219"/>
      <c r="AG54" s="220"/>
      <c r="AH54" s="221"/>
      <c r="AI54" s="222"/>
      <c r="AJ54" s="222"/>
      <c r="AK54" s="219"/>
      <c r="AL54" s="219"/>
      <c r="AM54" s="219"/>
      <c r="AN54" s="219"/>
      <c r="AO54" s="219"/>
    </row>
    <row r="55" spans="1:41" s="4" customFormat="1" ht="20" customHeight="1">
      <c r="A55" s="1157"/>
      <c r="B55" s="1151">
        <f>Skemaoplysninger!A49</f>
        <v>0</v>
      </c>
      <c r="C55" s="1152"/>
      <c r="D55" s="1152"/>
      <c r="E55" s="1152"/>
      <c r="F55" s="1152"/>
      <c r="G55" s="1152"/>
      <c r="H55" s="1147"/>
      <c r="I55" s="1146">
        <f>Skemaoplysninger!G49</f>
        <v>0</v>
      </c>
      <c r="J55" s="1147"/>
      <c r="K55" s="441">
        <f>Skemaoplysninger!I49</f>
        <v>0</v>
      </c>
      <c r="L55" s="235"/>
      <c r="M55" s="220"/>
      <c r="N55" s="220"/>
      <c r="O55" s="220"/>
      <c r="P55" s="220"/>
      <c r="Q55" s="220"/>
      <c r="R55" s="220"/>
      <c r="S55" s="220"/>
      <c r="T55" s="220"/>
      <c r="U55" s="220"/>
      <c r="V55" s="220"/>
      <c r="W55" s="220"/>
      <c r="X55" s="220"/>
      <c r="Y55" s="220"/>
      <c r="Z55" s="220"/>
      <c r="AA55" s="220"/>
      <c r="AB55" s="219"/>
      <c r="AC55" s="219"/>
      <c r="AD55" s="219"/>
      <c r="AE55" s="219"/>
      <c r="AG55" s="220"/>
      <c r="AH55" s="221"/>
      <c r="AI55" s="222"/>
      <c r="AJ55" s="222"/>
      <c r="AK55" s="219"/>
      <c r="AL55" s="219"/>
      <c r="AM55" s="219"/>
      <c r="AN55" s="219"/>
      <c r="AO55" s="219"/>
    </row>
    <row r="56" spans="1:41" s="4" customFormat="1" ht="20" customHeight="1">
      <c r="A56" s="1157"/>
      <c r="B56" s="1151">
        <f>Skemaoplysninger!A50</f>
        <v>0</v>
      </c>
      <c r="C56" s="1152"/>
      <c r="D56" s="1152"/>
      <c r="E56" s="1152"/>
      <c r="F56" s="1152"/>
      <c r="G56" s="1152"/>
      <c r="H56" s="1147"/>
      <c r="I56" s="1146">
        <f>Skemaoplysninger!G50</f>
        <v>0</v>
      </c>
      <c r="J56" s="1147"/>
      <c r="K56" s="441">
        <f>Skemaoplysninger!I50</f>
        <v>0</v>
      </c>
      <c r="L56" s="235"/>
      <c r="M56" s="220"/>
      <c r="N56" s="220"/>
      <c r="O56" s="220"/>
      <c r="P56" s="220"/>
      <c r="Q56" s="220"/>
      <c r="R56" s="220"/>
      <c r="S56" s="220"/>
      <c r="T56" s="220"/>
      <c r="U56" s="220"/>
      <c r="V56" s="220"/>
      <c r="W56" s="220"/>
      <c r="X56" s="220"/>
      <c r="Y56" s="220"/>
      <c r="Z56" s="220"/>
      <c r="AA56" s="220"/>
      <c r="AB56" s="219"/>
      <c r="AC56" s="219"/>
      <c r="AD56" s="219"/>
      <c r="AE56" s="219"/>
      <c r="AG56" s="220"/>
      <c r="AH56" s="221"/>
      <c r="AI56" s="222"/>
      <c r="AJ56" s="222"/>
      <c r="AK56" s="219"/>
      <c r="AL56" s="219"/>
      <c r="AM56" s="219"/>
      <c r="AN56" s="219"/>
      <c r="AO56" s="219"/>
    </row>
    <row r="57" spans="1:41" s="4" customFormat="1" ht="20" customHeight="1">
      <c r="A57" s="1157"/>
      <c r="B57" s="1151">
        <f>Skemaoplysninger!A51</f>
        <v>0</v>
      </c>
      <c r="C57" s="1152"/>
      <c r="D57" s="1152"/>
      <c r="E57" s="1152"/>
      <c r="F57" s="1152"/>
      <c r="G57" s="1152"/>
      <c r="H57" s="1147"/>
      <c r="I57" s="1146">
        <f>Skemaoplysninger!G51</f>
        <v>0</v>
      </c>
      <c r="J57" s="1147"/>
      <c r="K57" s="441">
        <f>Skemaoplysninger!I51</f>
        <v>0</v>
      </c>
      <c r="L57" s="235"/>
      <c r="M57" s="220"/>
      <c r="N57" s="220"/>
      <c r="O57" s="220"/>
      <c r="P57" s="220"/>
      <c r="Q57" s="220"/>
      <c r="R57" s="220"/>
      <c r="S57" s="220"/>
      <c r="T57" s="220"/>
      <c r="U57" s="220"/>
      <c r="V57" s="220"/>
      <c r="W57" s="220"/>
      <c r="X57" s="220"/>
      <c r="Y57" s="220"/>
      <c r="Z57" s="220"/>
      <c r="AA57" s="220"/>
      <c r="AB57" s="219"/>
      <c r="AC57" s="219"/>
      <c r="AD57" s="219"/>
      <c r="AE57" s="219"/>
      <c r="AG57" s="220"/>
      <c r="AH57" s="221"/>
      <c r="AI57" s="222"/>
      <c r="AJ57" s="222"/>
      <c r="AK57" s="219"/>
      <c r="AL57" s="219"/>
      <c r="AM57" s="219"/>
      <c r="AN57" s="219"/>
      <c r="AO57" s="219"/>
    </row>
    <row r="58" spans="1:41" s="4" customFormat="1" ht="20" customHeight="1">
      <c r="A58" s="1157"/>
      <c r="B58" s="1151">
        <f>Skemaoplysninger!A52</f>
        <v>0</v>
      </c>
      <c r="C58" s="1152"/>
      <c r="D58" s="1152"/>
      <c r="E58" s="1152"/>
      <c r="F58" s="1152"/>
      <c r="G58" s="1152"/>
      <c r="H58" s="1147"/>
      <c r="I58" s="1146">
        <f>Skemaoplysninger!G52</f>
        <v>0</v>
      </c>
      <c r="J58" s="1147"/>
      <c r="K58" s="441">
        <f>Skemaoplysninger!I52</f>
        <v>0</v>
      </c>
      <c r="L58" s="235"/>
      <c r="M58" s="220"/>
      <c r="N58" s="220"/>
      <c r="O58" s="220"/>
      <c r="P58" s="220"/>
      <c r="Q58" s="220"/>
      <c r="R58" s="220"/>
      <c r="S58" s="220"/>
      <c r="T58" s="220"/>
      <c r="U58" s="220"/>
      <c r="V58" s="220"/>
      <c r="W58" s="220"/>
      <c r="X58" s="220"/>
      <c r="Y58" s="220"/>
      <c r="Z58" s="220"/>
      <c r="AA58" s="220"/>
      <c r="AB58" s="219"/>
      <c r="AC58" s="219"/>
      <c r="AD58" s="219"/>
      <c r="AE58" s="219"/>
      <c r="AG58" s="220"/>
      <c r="AH58" s="221"/>
      <c r="AI58" s="222"/>
      <c r="AJ58" s="222"/>
      <c r="AK58" s="219"/>
      <c r="AL58" s="219"/>
      <c r="AM58" s="219"/>
      <c r="AN58" s="219"/>
      <c r="AO58" s="219"/>
    </row>
    <row r="59" spans="1:41" s="4" customFormat="1" ht="20" customHeight="1">
      <c r="A59" s="1157"/>
      <c r="B59" s="1151">
        <f>Skemaoplysninger!A53</f>
        <v>0</v>
      </c>
      <c r="C59" s="1152"/>
      <c r="D59" s="1152"/>
      <c r="E59" s="1152"/>
      <c r="F59" s="1152"/>
      <c r="G59" s="1152"/>
      <c r="H59" s="1147"/>
      <c r="I59" s="1146">
        <f>Skemaoplysninger!G53</f>
        <v>0</v>
      </c>
      <c r="J59" s="1147"/>
      <c r="K59" s="441">
        <f>Skemaoplysninger!I53</f>
        <v>0</v>
      </c>
      <c r="L59" s="235"/>
      <c r="M59" s="220"/>
      <c r="N59" s="220"/>
      <c r="O59" s="220"/>
      <c r="P59" s="220"/>
      <c r="Q59" s="220"/>
      <c r="R59" s="220"/>
      <c r="S59" s="220"/>
      <c r="T59" s="220"/>
      <c r="U59" s="220"/>
      <c r="V59" s="220"/>
      <c r="W59" s="220"/>
      <c r="X59" s="220"/>
      <c r="Y59" s="220"/>
      <c r="Z59" s="220"/>
      <c r="AA59" s="220"/>
      <c r="AB59" s="219"/>
      <c r="AC59" s="219"/>
      <c r="AD59" s="219"/>
      <c r="AE59" s="219"/>
      <c r="AG59" s="220"/>
      <c r="AH59" s="221"/>
      <c r="AI59" s="222"/>
      <c r="AJ59" s="222"/>
      <c r="AK59" s="219"/>
      <c r="AL59" s="219"/>
      <c r="AM59" s="219"/>
      <c r="AN59" s="219"/>
      <c r="AO59" s="219"/>
    </row>
    <row r="60" spans="1:41" s="4" customFormat="1" ht="20" customHeight="1">
      <c r="A60" s="1157"/>
      <c r="B60" s="1151">
        <f>Skemaoplysninger!A54</f>
        <v>0</v>
      </c>
      <c r="C60" s="1152"/>
      <c r="D60" s="1152"/>
      <c r="E60" s="1152"/>
      <c r="F60" s="1152"/>
      <c r="G60" s="1152"/>
      <c r="H60" s="1147"/>
      <c r="I60" s="1146">
        <f>Skemaoplysninger!G54</f>
        <v>0</v>
      </c>
      <c r="J60" s="1147"/>
      <c r="K60" s="441">
        <f>Skemaoplysninger!I54</f>
        <v>0</v>
      </c>
      <c r="L60" s="235"/>
      <c r="M60" s="220"/>
      <c r="N60" s="220"/>
      <c r="O60" s="220"/>
      <c r="P60" s="220"/>
      <c r="Q60" s="220"/>
      <c r="R60" s="220"/>
      <c r="S60" s="220"/>
      <c r="T60" s="220"/>
      <c r="U60" s="220"/>
      <c r="V60" s="220"/>
      <c r="W60" s="220"/>
      <c r="X60" s="220"/>
      <c r="Y60" s="220"/>
      <c r="Z60" s="220"/>
      <c r="AA60" s="220"/>
      <c r="AB60" s="219"/>
      <c r="AC60" s="219"/>
      <c r="AD60" s="219"/>
      <c r="AE60" s="219"/>
      <c r="AG60" s="220"/>
      <c r="AH60" s="221"/>
      <c r="AI60" s="222"/>
      <c r="AJ60" s="222"/>
      <c r="AK60" s="219"/>
      <c r="AL60" s="219"/>
      <c r="AM60" s="219"/>
      <c r="AN60" s="219"/>
      <c r="AO60" s="219"/>
    </row>
    <row r="61" spans="1:41" s="4" customFormat="1" ht="20" customHeight="1">
      <c r="A61" s="1157"/>
      <c r="B61" s="1151">
        <f>Skemaoplysninger!A55</f>
        <v>0</v>
      </c>
      <c r="C61" s="1152"/>
      <c r="D61" s="1152"/>
      <c r="E61" s="1152"/>
      <c r="F61" s="1152"/>
      <c r="G61" s="1152"/>
      <c r="H61" s="1147"/>
      <c r="I61" s="1146">
        <f>Skemaoplysninger!G55</f>
        <v>0</v>
      </c>
      <c r="J61" s="1147"/>
      <c r="K61" s="441">
        <f>Skemaoplysninger!I55</f>
        <v>0</v>
      </c>
      <c r="L61" s="235"/>
      <c r="M61" s="220"/>
      <c r="N61" s="220"/>
      <c r="O61" s="220"/>
      <c r="P61" s="220"/>
      <c r="Q61" s="220"/>
      <c r="R61" s="220"/>
      <c r="S61" s="220"/>
      <c r="T61" s="220"/>
      <c r="U61" s="220"/>
      <c r="V61" s="220"/>
      <c r="W61" s="220"/>
      <c r="X61" s="220"/>
      <c r="Y61" s="220"/>
      <c r="Z61" s="220"/>
      <c r="AA61" s="220"/>
      <c r="AB61" s="219"/>
      <c r="AC61" s="219"/>
      <c r="AD61" s="219"/>
      <c r="AE61" s="219"/>
      <c r="AG61" s="220"/>
      <c r="AH61" s="221"/>
      <c r="AI61" s="222"/>
      <c r="AJ61" s="222"/>
      <c r="AK61" s="219"/>
      <c r="AL61" s="219"/>
      <c r="AM61" s="219"/>
      <c r="AN61" s="219"/>
      <c r="AO61" s="219"/>
    </row>
    <row r="62" spans="1:41" s="4" customFormat="1" ht="20" customHeight="1">
      <c r="A62" s="1157"/>
      <c r="B62" s="1151">
        <f>Skemaoplysninger!A56</f>
        <v>0</v>
      </c>
      <c r="C62" s="1152"/>
      <c r="D62" s="1152"/>
      <c r="E62" s="1152"/>
      <c r="F62" s="1152"/>
      <c r="G62" s="1152"/>
      <c r="H62" s="1147"/>
      <c r="I62" s="1146">
        <f>Skemaoplysninger!G56</f>
        <v>0</v>
      </c>
      <c r="J62" s="1147"/>
      <c r="K62" s="441">
        <f>Skemaoplysninger!I56</f>
        <v>0</v>
      </c>
      <c r="L62" s="235"/>
      <c r="M62" s="220"/>
      <c r="N62" s="220"/>
      <c r="O62" s="220"/>
      <c r="P62" s="220"/>
      <c r="Q62" s="220"/>
      <c r="R62" s="220"/>
      <c r="S62" s="220"/>
      <c r="T62" s="220"/>
      <c r="U62" s="220"/>
      <c r="V62" s="220"/>
      <c r="W62" s="220"/>
      <c r="X62" s="220"/>
      <c r="Y62" s="220"/>
      <c r="Z62" s="220"/>
      <c r="AA62" s="220"/>
      <c r="AB62" s="219"/>
      <c r="AC62" s="219"/>
      <c r="AD62" s="219"/>
      <c r="AE62" s="219"/>
      <c r="AG62" s="220"/>
      <c r="AH62" s="221"/>
      <c r="AI62" s="222"/>
      <c r="AJ62" s="222"/>
      <c r="AK62" s="219"/>
      <c r="AL62" s="219"/>
      <c r="AM62" s="219"/>
      <c r="AN62" s="219"/>
      <c r="AO62" s="219"/>
    </row>
    <row r="63" spans="1:41" s="4" customFormat="1" ht="20" customHeight="1">
      <c r="A63" s="1157"/>
      <c r="B63" s="1151">
        <f>Skemaoplysninger!A57</f>
        <v>0</v>
      </c>
      <c r="C63" s="1152"/>
      <c r="D63" s="1152"/>
      <c r="E63" s="1152"/>
      <c r="F63" s="1152"/>
      <c r="G63" s="1152"/>
      <c r="H63" s="1147"/>
      <c r="I63" s="1146">
        <f>Skemaoplysninger!G57</f>
        <v>0</v>
      </c>
      <c r="J63" s="1147"/>
      <c r="K63" s="441">
        <f>Skemaoplysninger!I57</f>
        <v>0</v>
      </c>
      <c r="L63" s="235"/>
      <c r="M63" s="220"/>
      <c r="N63" s="220"/>
      <c r="O63" s="220"/>
      <c r="P63" s="220"/>
      <c r="Q63" s="220"/>
      <c r="R63" s="220"/>
      <c r="S63" s="220"/>
      <c r="T63" s="220"/>
      <c r="U63" s="220"/>
      <c r="V63" s="220"/>
      <c r="W63" s="220"/>
      <c r="X63" s="220"/>
      <c r="Y63" s="220"/>
      <c r="Z63" s="220"/>
      <c r="AA63" s="220"/>
      <c r="AB63" s="219"/>
      <c r="AC63" s="219"/>
      <c r="AD63" s="219"/>
      <c r="AE63" s="219"/>
      <c r="AG63" s="220"/>
      <c r="AH63" s="221"/>
      <c r="AI63" s="222"/>
      <c r="AJ63" s="222"/>
      <c r="AK63" s="219"/>
      <c r="AL63" s="219"/>
      <c r="AM63" s="219"/>
      <c r="AN63" s="219"/>
      <c r="AO63" s="219"/>
    </row>
    <row r="64" spans="1:41" s="4" customFormat="1" ht="20" customHeight="1">
      <c r="A64" s="1157"/>
      <c r="B64" s="1151">
        <f>Skemaoplysninger!A58</f>
        <v>0</v>
      </c>
      <c r="C64" s="1152"/>
      <c r="D64" s="1152"/>
      <c r="E64" s="1152"/>
      <c r="F64" s="1152"/>
      <c r="G64" s="1152"/>
      <c r="H64" s="1147"/>
      <c r="I64" s="1146">
        <f>Skemaoplysninger!G58</f>
        <v>0</v>
      </c>
      <c r="J64" s="1147"/>
      <c r="K64" s="441">
        <f>Skemaoplysninger!I58</f>
        <v>0</v>
      </c>
      <c r="L64" s="235"/>
      <c r="M64" s="220"/>
      <c r="N64" s="220"/>
      <c r="O64" s="220"/>
      <c r="P64" s="220"/>
      <c r="Q64" s="220"/>
      <c r="R64" s="220"/>
      <c r="S64" s="220"/>
      <c r="T64" s="220"/>
      <c r="U64" s="220"/>
      <c r="V64" s="220"/>
      <c r="W64" s="220"/>
      <c r="X64" s="220"/>
      <c r="Y64" s="220"/>
      <c r="Z64" s="220"/>
      <c r="AA64" s="220"/>
      <c r="AB64" s="219"/>
      <c r="AC64" s="219"/>
      <c r="AD64" s="219"/>
      <c r="AE64" s="219"/>
      <c r="AG64" s="220"/>
      <c r="AH64" s="221"/>
      <c r="AI64" s="222"/>
      <c r="AJ64" s="222"/>
      <c r="AK64" s="219"/>
      <c r="AL64" s="219"/>
      <c r="AM64" s="219"/>
      <c r="AN64" s="219"/>
      <c r="AO64" s="219"/>
    </row>
    <row r="65" spans="1:41" s="4" customFormat="1" ht="20" customHeight="1">
      <c r="A65" s="1157"/>
      <c r="B65" s="1151">
        <f>Skemaoplysninger!A59</f>
        <v>0</v>
      </c>
      <c r="C65" s="1152"/>
      <c r="D65" s="1152"/>
      <c r="E65" s="1152"/>
      <c r="F65" s="1152"/>
      <c r="G65" s="1152"/>
      <c r="H65" s="1147"/>
      <c r="I65" s="1146">
        <f>Skemaoplysninger!G59</f>
        <v>0</v>
      </c>
      <c r="J65" s="1147"/>
      <c r="K65" s="441">
        <f>Skemaoplysninger!I59</f>
        <v>0</v>
      </c>
      <c r="L65" s="235"/>
      <c r="M65" s="220"/>
      <c r="N65" s="220"/>
      <c r="O65" s="220"/>
      <c r="P65" s="220"/>
      <c r="Q65" s="220"/>
      <c r="R65" s="220"/>
      <c r="S65" s="220"/>
      <c r="T65" s="220"/>
      <c r="U65" s="220"/>
      <c r="V65" s="220"/>
      <c r="W65" s="220"/>
      <c r="X65" s="220"/>
      <c r="Y65" s="220"/>
      <c r="Z65" s="220"/>
      <c r="AA65" s="220"/>
      <c r="AB65" s="219"/>
      <c r="AC65" s="219"/>
      <c r="AD65" s="219"/>
      <c r="AE65" s="219"/>
      <c r="AG65" s="220"/>
      <c r="AH65" s="221"/>
      <c r="AI65" s="222"/>
      <c r="AJ65" s="222"/>
      <c r="AK65" s="219"/>
      <c r="AL65" s="219"/>
      <c r="AM65" s="219"/>
      <c r="AN65" s="219"/>
      <c r="AO65" s="219"/>
    </row>
    <row r="66" spans="1:41" s="4" customFormat="1" ht="20" customHeight="1">
      <c r="A66" s="1157"/>
      <c r="B66" s="1151">
        <f>Skemaoplysninger!A60</f>
        <v>0</v>
      </c>
      <c r="C66" s="1152"/>
      <c r="D66" s="1152"/>
      <c r="E66" s="1152"/>
      <c r="F66" s="1152"/>
      <c r="G66" s="1152"/>
      <c r="H66" s="1147"/>
      <c r="I66" s="1146">
        <f>Skemaoplysninger!G60</f>
        <v>0</v>
      </c>
      <c r="J66" s="1147"/>
      <c r="K66" s="441">
        <f>Skemaoplysninger!I60</f>
        <v>0</v>
      </c>
      <c r="L66" s="235"/>
      <c r="M66" s="220"/>
      <c r="N66" s="220"/>
      <c r="O66" s="220"/>
      <c r="P66" s="220"/>
      <c r="Q66" s="220"/>
      <c r="R66" s="220"/>
      <c r="S66" s="220"/>
      <c r="T66" s="220"/>
      <c r="U66" s="220"/>
      <c r="V66" s="220"/>
      <c r="W66" s="220"/>
      <c r="X66" s="220"/>
      <c r="Y66" s="220"/>
      <c r="Z66" s="220"/>
      <c r="AA66" s="220"/>
      <c r="AB66" s="219"/>
      <c r="AC66" s="219"/>
      <c r="AD66" s="219"/>
      <c r="AE66" s="219"/>
      <c r="AG66" s="220"/>
      <c r="AH66" s="221"/>
      <c r="AI66" s="222"/>
      <c r="AJ66" s="222"/>
      <c r="AK66" s="219"/>
      <c r="AL66" s="219"/>
      <c r="AM66" s="219"/>
      <c r="AN66" s="219"/>
      <c r="AO66" s="219"/>
    </row>
    <row r="67" spans="1:41" s="4" customFormat="1" ht="20" customHeight="1">
      <c r="A67" s="1157"/>
      <c r="B67" s="1151">
        <f>Skemaoplysninger!A61</f>
        <v>0</v>
      </c>
      <c r="C67" s="1152"/>
      <c r="D67" s="1152"/>
      <c r="E67" s="1152"/>
      <c r="F67" s="1152"/>
      <c r="G67" s="1152"/>
      <c r="H67" s="1147"/>
      <c r="I67" s="1146">
        <f>Skemaoplysninger!G61</f>
        <v>0</v>
      </c>
      <c r="J67" s="1147"/>
      <c r="K67" s="441">
        <f>Skemaoplysninger!I61</f>
        <v>0</v>
      </c>
      <c r="L67" s="235"/>
      <c r="M67" s="220"/>
      <c r="N67" s="220"/>
      <c r="O67" s="220"/>
      <c r="P67" s="220"/>
      <c r="Q67" s="220"/>
      <c r="R67" s="220"/>
      <c r="S67" s="220"/>
      <c r="T67" s="220"/>
      <c r="U67" s="220"/>
      <c r="V67" s="220"/>
      <c r="W67" s="220"/>
      <c r="X67" s="220"/>
      <c r="Y67" s="220"/>
      <c r="Z67" s="220"/>
      <c r="AA67" s="220"/>
      <c r="AB67" s="219"/>
      <c r="AC67" s="219"/>
      <c r="AD67" s="219"/>
      <c r="AE67" s="219"/>
      <c r="AG67" s="220"/>
      <c r="AH67" s="221"/>
      <c r="AI67" s="222"/>
      <c r="AJ67" s="222"/>
      <c r="AK67" s="219"/>
      <c r="AL67" s="219"/>
      <c r="AM67" s="219"/>
      <c r="AN67" s="219"/>
      <c r="AO67" s="219"/>
    </row>
    <row r="68" spans="1:41" s="4" customFormat="1" ht="20" customHeight="1">
      <c r="A68" s="1157"/>
      <c r="B68" s="1151">
        <f>Skemaoplysninger!A62</f>
        <v>0</v>
      </c>
      <c r="C68" s="1152"/>
      <c r="D68" s="1152"/>
      <c r="E68" s="1152"/>
      <c r="F68" s="1152"/>
      <c r="G68" s="1152"/>
      <c r="H68" s="1147"/>
      <c r="I68" s="1146">
        <f>Skemaoplysninger!G62</f>
        <v>0</v>
      </c>
      <c r="J68" s="1147"/>
      <c r="K68" s="441">
        <f>Skemaoplysninger!I62</f>
        <v>0</v>
      </c>
      <c r="L68" s="235"/>
      <c r="M68" s="220"/>
      <c r="N68" s="220"/>
      <c r="O68" s="220"/>
      <c r="P68" s="220"/>
      <c r="Q68" s="220"/>
      <c r="R68" s="220"/>
      <c r="S68" s="220"/>
      <c r="T68" s="220"/>
      <c r="U68" s="220"/>
      <c r="V68" s="220"/>
      <c r="W68" s="220"/>
      <c r="X68" s="220"/>
      <c r="Y68" s="220"/>
      <c r="Z68" s="220"/>
      <c r="AA68" s="220"/>
      <c r="AB68" s="219"/>
      <c r="AC68" s="219"/>
      <c r="AD68" s="219"/>
      <c r="AE68" s="219"/>
      <c r="AG68" s="220"/>
      <c r="AH68" s="221"/>
      <c r="AI68" s="222"/>
      <c r="AJ68" s="222"/>
      <c r="AK68" s="219"/>
      <c r="AL68" s="219"/>
      <c r="AM68" s="219"/>
      <c r="AN68" s="219"/>
      <c r="AO68" s="219"/>
    </row>
    <row r="69" spans="1:41" s="4" customFormat="1" ht="20" customHeight="1">
      <c r="A69" s="1157"/>
      <c r="B69" s="1151">
        <f>Skemaoplysninger!A63</f>
        <v>0</v>
      </c>
      <c r="C69" s="1152"/>
      <c r="D69" s="1152"/>
      <c r="E69" s="1152"/>
      <c r="F69" s="1152"/>
      <c r="G69" s="1152"/>
      <c r="H69" s="1147"/>
      <c r="I69" s="1146">
        <f>Skemaoplysninger!G63</f>
        <v>0</v>
      </c>
      <c r="J69" s="1147"/>
      <c r="K69" s="441">
        <f>Skemaoplysninger!I63</f>
        <v>0</v>
      </c>
      <c r="L69" s="235"/>
      <c r="M69" s="220"/>
      <c r="N69" s="220"/>
      <c r="O69" s="220"/>
      <c r="P69" s="220"/>
      <c r="Q69" s="220"/>
      <c r="R69" s="220"/>
      <c r="S69" s="220"/>
      <c r="T69" s="220"/>
      <c r="U69" s="220"/>
      <c r="V69" s="220"/>
      <c r="W69" s="220"/>
      <c r="X69" s="220"/>
      <c r="Y69" s="220"/>
      <c r="Z69" s="220"/>
      <c r="AA69" s="220"/>
      <c r="AB69" s="219"/>
      <c r="AC69" s="219"/>
      <c r="AD69" s="219"/>
      <c r="AE69" s="219"/>
      <c r="AG69" s="220"/>
      <c r="AH69" s="221"/>
      <c r="AI69" s="222"/>
      <c r="AJ69" s="222"/>
      <c r="AK69" s="219"/>
      <c r="AL69" s="219"/>
      <c r="AM69" s="219"/>
      <c r="AN69" s="219"/>
      <c r="AO69" s="219"/>
    </row>
    <row r="70" spans="1:41" s="4" customFormat="1" ht="20" customHeight="1">
      <c r="A70" s="1157"/>
      <c r="B70" s="1151">
        <f>Skemaoplysninger!A64</f>
        <v>0</v>
      </c>
      <c r="C70" s="1152"/>
      <c r="D70" s="1152"/>
      <c r="E70" s="1152"/>
      <c r="F70" s="1152"/>
      <c r="G70" s="1152"/>
      <c r="H70" s="1147"/>
      <c r="I70" s="1146">
        <f>Skemaoplysninger!G64</f>
        <v>0</v>
      </c>
      <c r="J70" s="1147"/>
      <c r="K70" s="441">
        <f>Skemaoplysninger!I64</f>
        <v>0</v>
      </c>
      <c r="L70" s="235"/>
      <c r="M70" s="220"/>
      <c r="N70" s="220"/>
      <c r="O70" s="220"/>
      <c r="P70" s="220"/>
      <c r="Q70" s="220"/>
      <c r="R70" s="220"/>
      <c r="S70" s="220"/>
      <c r="T70" s="220"/>
      <c r="U70" s="220"/>
      <c r="V70" s="220"/>
      <c r="W70" s="220"/>
      <c r="X70" s="220"/>
      <c r="Y70" s="220"/>
      <c r="Z70" s="220"/>
      <c r="AA70" s="220"/>
      <c r="AB70" s="219"/>
      <c r="AC70" s="219"/>
      <c r="AD70" s="219"/>
      <c r="AE70" s="219"/>
      <c r="AG70" s="220"/>
      <c r="AH70" s="221"/>
      <c r="AI70" s="222"/>
      <c r="AJ70" s="222"/>
      <c r="AK70" s="219"/>
      <c r="AL70" s="219"/>
      <c r="AM70" s="219"/>
      <c r="AN70" s="219"/>
      <c r="AO70" s="219"/>
    </row>
    <row r="71" spans="1:41" s="4" customFormat="1" ht="20" customHeight="1">
      <c r="A71" s="1157"/>
      <c r="B71" s="1151">
        <f>Skemaoplysninger!A65</f>
        <v>0</v>
      </c>
      <c r="C71" s="1152"/>
      <c r="D71" s="1152"/>
      <c r="E71" s="1152"/>
      <c r="F71" s="1152"/>
      <c r="G71" s="1152"/>
      <c r="H71" s="1147"/>
      <c r="I71" s="1146">
        <f>Skemaoplysninger!G65</f>
        <v>0</v>
      </c>
      <c r="J71" s="1147"/>
      <c r="K71" s="441">
        <f>Skemaoplysninger!I65</f>
        <v>0</v>
      </c>
      <c r="L71" s="235"/>
      <c r="M71" s="220"/>
      <c r="N71" s="220"/>
      <c r="O71" s="220"/>
      <c r="P71" s="220"/>
      <c r="Q71" s="220"/>
      <c r="R71" s="220"/>
      <c r="S71" s="220"/>
      <c r="T71" s="220"/>
      <c r="U71" s="220"/>
      <c r="V71" s="220"/>
      <c r="W71" s="220"/>
      <c r="X71" s="220"/>
      <c r="Y71" s="220"/>
      <c r="Z71" s="220"/>
      <c r="AA71" s="220"/>
      <c r="AB71" s="219"/>
      <c r="AC71" s="219"/>
      <c r="AD71" s="219"/>
      <c r="AE71" s="219"/>
      <c r="AG71" s="220"/>
      <c r="AH71" s="221"/>
      <c r="AI71" s="222"/>
      <c r="AJ71" s="222"/>
      <c r="AK71" s="219"/>
      <c r="AL71" s="219"/>
      <c r="AM71" s="219"/>
      <c r="AN71" s="219"/>
      <c r="AO71" s="219"/>
    </row>
    <row r="72" spans="1:41" s="4" customFormat="1" ht="20" customHeight="1">
      <c r="A72" s="1157"/>
      <c r="B72" s="1151">
        <f>Skemaoplysninger!A66</f>
        <v>0</v>
      </c>
      <c r="C72" s="1152"/>
      <c r="D72" s="1152"/>
      <c r="E72" s="1152"/>
      <c r="F72" s="1152"/>
      <c r="G72" s="1152"/>
      <c r="H72" s="1147"/>
      <c r="I72" s="1146">
        <f>Skemaoplysninger!G66</f>
        <v>0</v>
      </c>
      <c r="J72" s="1147"/>
      <c r="K72" s="441">
        <f>Skemaoplysninger!I66</f>
        <v>0</v>
      </c>
      <c r="L72" s="235"/>
      <c r="M72" s="220"/>
      <c r="N72" s="220"/>
      <c r="O72" s="220"/>
      <c r="P72" s="220"/>
      <c r="Q72" s="220"/>
      <c r="R72" s="220"/>
      <c r="S72" s="220"/>
      <c r="T72" s="220"/>
      <c r="U72" s="220"/>
      <c r="V72" s="220"/>
      <c r="W72" s="220"/>
      <c r="X72" s="220"/>
      <c r="Y72" s="220"/>
      <c r="Z72" s="220"/>
      <c r="AA72" s="220"/>
      <c r="AB72" s="219"/>
      <c r="AC72" s="219"/>
      <c r="AD72" s="219"/>
      <c r="AE72" s="219"/>
      <c r="AG72" s="220"/>
      <c r="AH72" s="221"/>
      <c r="AI72" s="222"/>
      <c r="AJ72" s="222"/>
      <c r="AK72" s="219"/>
      <c r="AL72" s="219"/>
      <c r="AM72" s="219"/>
      <c r="AN72" s="219"/>
      <c r="AO72" s="219"/>
    </row>
    <row r="73" spans="1:41" s="4" customFormat="1" ht="20" customHeight="1">
      <c r="A73" s="1157"/>
      <c r="B73" s="1151">
        <f>Skemaoplysninger!A67</f>
        <v>0</v>
      </c>
      <c r="C73" s="1152"/>
      <c r="D73" s="1152"/>
      <c r="E73" s="1152"/>
      <c r="F73" s="1152"/>
      <c r="G73" s="1152"/>
      <c r="H73" s="1147"/>
      <c r="I73" s="1146">
        <f>Skemaoplysninger!G67</f>
        <v>0</v>
      </c>
      <c r="J73" s="1147"/>
      <c r="K73" s="441">
        <f>Skemaoplysninger!I67</f>
        <v>0</v>
      </c>
      <c r="L73" s="235"/>
      <c r="M73" s="220"/>
      <c r="N73" s="220"/>
      <c r="O73" s="220"/>
      <c r="P73" s="220"/>
      <c r="Q73" s="220"/>
      <c r="R73" s="220"/>
      <c r="S73" s="220"/>
      <c r="T73" s="220"/>
      <c r="U73" s="220"/>
      <c r="V73" s="220"/>
      <c r="W73" s="220"/>
      <c r="X73" s="220"/>
      <c r="Y73" s="220"/>
      <c r="Z73" s="220"/>
      <c r="AA73" s="220"/>
      <c r="AB73" s="219"/>
      <c r="AC73" s="219"/>
      <c r="AD73" s="219"/>
      <c r="AE73" s="219"/>
      <c r="AG73" s="220"/>
      <c r="AH73" s="221"/>
      <c r="AI73" s="222"/>
      <c r="AJ73" s="222"/>
      <c r="AK73" s="219"/>
      <c r="AL73" s="219"/>
      <c r="AM73" s="219"/>
      <c r="AN73" s="219"/>
      <c r="AO73" s="219"/>
    </row>
    <row r="74" spans="1:41" s="4" customFormat="1" ht="20" customHeight="1">
      <c r="A74" s="1157"/>
      <c r="B74" s="1151">
        <f>Skemaoplysninger!A68</f>
        <v>0</v>
      </c>
      <c r="C74" s="1152"/>
      <c r="D74" s="1152"/>
      <c r="E74" s="1152"/>
      <c r="F74" s="1152"/>
      <c r="G74" s="1152"/>
      <c r="H74" s="1147"/>
      <c r="I74" s="1146">
        <f>Skemaoplysninger!G68</f>
        <v>0</v>
      </c>
      <c r="J74" s="1147"/>
      <c r="K74" s="441">
        <f>Skemaoplysninger!I68</f>
        <v>0</v>
      </c>
      <c r="L74" s="235"/>
      <c r="M74" s="220"/>
      <c r="N74" s="220"/>
      <c r="O74" s="220"/>
      <c r="P74" s="220"/>
      <c r="Q74" s="220"/>
      <c r="R74" s="220"/>
      <c r="S74" s="220"/>
      <c r="T74" s="220"/>
      <c r="U74" s="220"/>
      <c r="V74" s="220"/>
      <c r="W74" s="220"/>
      <c r="X74" s="220"/>
      <c r="Y74" s="220"/>
      <c r="Z74" s="220"/>
      <c r="AA74" s="220"/>
      <c r="AB74" s="219"/>
      <c r="AC74" s="219"/>
      <c r="AD74" s="219"/>
      <c r="AE74" s="219"/>
      <c r="AG74" s="220"/>
      <c r="AH74" s="221"/>
      <c r="AI74" s="222"/>
      <c r="AJ74" s="222"/>
      <c r="AK74" s="219"/>
      <c r="AL74" s="219"/>
      <c r="AM74" s="219"/>
      <c r="AN74" s="219"/>
      <c r="AO74" s="219"/>
    </row>
    <row r="75" spans="1:41" s="4" customFormat="1" ht="20" customHeight="1">
      <c r="A75" s="1157"/>
      <c r="B75" s="1151">
        <f>Skemaoplysninger!A69</f>
        <v>0</v>
      </c>
      <c r="C75" s="1152"/>
      <c r="D75" s="1152"/>
      <c r="E75" s="1152"/>
      <c r="F75" s="1152"/>
      <c r="G75" s="1152"/>
      <c r="H75" s="1147"/>
      <c r="I75" s="1146">
        <f>Skemaoplysninger!G69</f>
        <v>0</v>
      </c>
      <c r="J75" s="1147"/>
      <c r="K75" s="441">
        <f>Skemaoplysninger!I69</f>
        <v>0</v>
      </c>
      <c r="L75" s="235"/>
      <c r="M75" s="220"/>
      <c r="N75" s="220"/>
      <c r="O75" s="220"/>
      <c r="P75" s="220"/>
      <c r="Q75" s="220"/>
      <c r="R75" s="220"/>
      <c r="S75" s="220"/>
      <c r="T75" s="220"/>
      <c r="U75" s="220"/>
      <c r="V75" s="220"/>
      <c r="W75" s="220"/>
      <c r="X75" s="220"/>
      <c r="Y75" s="220"/>
      <c r="Z75" s="220"/>
      <c r="AA75" s="220"/>
      <c r="AB75" s="219"/>
      <c r="AC75" s="219"/>
      <c r="AD75" s="219"/>
      <c r="AE75" s="219"/>
      <c r="AG75" s="220"/>
      <c r="AH75" s="221"/>
      <c r="AI75" s="222"/>
      <c r="AJ75" s="222"/>
      <c r="AK75" s="219"/>
      <c r="AL75" s="219"/>
      <c r="AM75" s="219"/>
      <c r="AN75" s="219"/>
      <c r="AO75" s="219"/>
    </row>
    <row r="76" spans="1:41" s="4" customFormat="1" ht="20" customHeight="1">
      <c r="A76" s="1157"/>
      <c r="B76" s="1151">
        <f>Skemaoplysninger!A70</f>
        <v>0</v>
      </c>
      <c r="C76" s="1152"/>
      <c r="D76" s="1152"/>
      <c r="E76" s="1152"/>
      <c r="F76" s="1152"/>
      <c r="G76" s="1152"/>
      <c r="H76" s="1147"/>
      <c r="I76" s="1146">
        <f>Skemaoplysninger!G70</f>
        <v>0</v>
      </c>
      <c r="J76" s="1147"/>
      <c r="K76" s="441">
        <f>Skemaoplysninger!I70</f>
        <v>0</v>
      </c>
      <c r="L76" s="235"/>
      <c r="M76" s="220"/>
      <c r="N76" s="220"/>
      <c r="O76" s="220"/>
      <c r="P76" s="220"/>
      <c r="Q76" s="220"/>
      <c r="R76" s="220"/>
      <c r="S76" s="220"/>
      <c r="T76" s="220"/>
      <c r="U76" s="220"/>
      <c r="V76" s="220"/>
      <c r="W76" s="220"/>
      <c r="X76" s="220"/>
      <c r="Y76" s="220"/>
      <c r="Z76" s="220"/>
      <c r="AA76" s="220"/>
      <c r="AB76" s="219"/>
      <c r="AC76" s="219"/>
      <c r="AD76" s="219"/>
      <c r="AE76" s="219"/>
      <c r="AG76" s="220"/>
      <c r="AH76" s="221"/>
      <c r="AI76" s="222"/>
      <c r="AJ76" s="222"/>
      <c r="AK76" s="219"/>
      <c r="AL76" s="219"/>
      <c r="AM76" s="219"/>
      <c r="AN76" s="219"/>
      <c r="AO76" s="219"/>
    </row>
    <row r="77" spans="1:41" s="4" customFormat="1" ht="20" customHeight="1">
      <c r="A77" s="1157"/>
      <c r="B77" s="1151">
        <f>Skemaoplysninger!A71</f>
        <v>0</v>
      </c>
      <c r="C77" s="1152"/>
      <c r="D77" s="1152"/>
      <c r="E77" s="1152"/>
      <c r="F77" s="1152"/>
      <c r="G77" s="1152"/>
      <c r="H77" s="1147"/>
      <c r="I77" s="1146">
        <f>Skemaoplysninger!G71</f>
        <v>0</v>
      </c>
      <c r="J77" s="1147"/>
      <c r="K77" s="441">
        <f>Skemaoplysninger!I71</f>
        <v>0</v>
      </c>
      <c r="L77" s="235"/>
      <c r="M77" s="220"/>
      <c r="N77" s="220"/>
      <c r="O77" s="220"/>
      <c r="P77" s="220"/>
      <c r="Q77" s="220"/>
      <c r="R77" s="220"/>
      <c r="S77" s="220"/>
      <c r="T77" s="220"/>
      <c r="U77" s="220"/>
      <c r="V77" s="220"/>
      <c r="W77" s="220"/>
      <c r="X77" s="220"/>
      <c r="Y77" s="220"/>
      <c r="Z77" s="220"/>
      <c r="AA77" s="220"/>
      <c r="AB77" s="219"/>
      <c r="AC77" s="219"/>
      <c r="AD77" s="219"/>
      <c r="AE77" s="219"/>
      <c r="AG77" s="220"/>
      <c r="AH77" s="221"/>
      <c r="AI77" s="222"/>
      <c r="AJ77" s="222"/>
      <c r="AK77" s="219"/>
      <c r="AL77" s="219"/>
      <c r="AM77" s="219"/>
      <c r="AN77" s="219"/>
      <c r="AO77" s="219"/>
    </row>
    <row r="78" spans="1:41" s="4" customFormat="1" ht="20" customHeight="1">
      <c r="A78" s="1157"/>
      <c r="B78" s="1151">
        <f>Skemaoplysninger!A72</f>
        <v>0</v>
      </c>
      <c r="C78" s="1152"/>
      <c r="D78" s="1152"/>
      <c r="E78" s="1152"/>
      <c r="F78" s="1152"/>
      <c r="G78" s="1152"/>
      <c r="H78" s="1147"/>
      <c r="I78" s="1146">
        <f>Skemaoplysninger!G72</f>
        <v>0</v>
      </c>
      <c r="J78" s="1147"/>
      <c r="K78" s="441">
        <f>Skemaoplysninger!I72</f>
        <v>0</v>
      </c>
      <c r="L78" s="235"/>
      <c r="M78" s="220"/>
      <c r="N78" s="220"/>
      <c r="O78" s="220"/>
      <c r="P78" s="220"/>
      <c r="Q78" s="220"/>
      <c r="R78" s="220"/>
      <c r="S78" s="220"/>
      <c r="T78" s="220"/>
      <c r="U78" s="220"/>
      <c r="V78" s="220"/>
      <c r="W78" s="220"/>
      <c r="X78" s="220"/>
      <c r="Y78" s="220"/>
      <c r="Z78" s="220"/>
      <c r="AA78" s="220"/>
      <c r="AB78" s="219"/>
      <c r="AC78" s="219"/>
      <c r="AD78" s="219"/>
      <c r="AE78" s="219"/>
      <c r="AG78" s="220"/>
      <c r="AH78" s="221"/>
      <c r="AI78" s="222"/>
      <c r="AJ78" s="222"/>
      <c r="AK78" s="219"/>
      <c r="AL78" s="219"/>
      <c r="AM78" s="219"/>
      <c r="AN78" s="219"/>
      <c r="AO78" s="219"/>
    </row>
    <row r="79" spans="1:41" s="4" customFormat="1" ht="20" customHeight="1">
      <c r="A79" s="1157"/>
      <c r="B79" s="1151">
        <f>Skemaoplysninger!A73</f>
        <v>0</v>
      </c>
      <c r="C79" s="1152"/>
      <c r="D79" s="1152"/>
      <c r="E79" s="1152"/>
      <c r="F79" s="1152"/>
      <c r="G79" s="1152"/>
      <c r="H79" s="1147"/>
      <c r="I79" s="1146">
        <f>Skemaoplysninger!G73</f>
        <v>0</v>
      </c>
      <c r="J79" s="1147"/>
      <c r="K79" s="441">
        <f>Skemaoplysninger!I73</f>
        <v>0</v>
      </c>
      <c r="L79" s="235"/>
      <c r="M79" s="220"/>
      <c r="N79" s="220"/>
      <c r="O79" s="220"/>
      <c r="P79" s="220"/>
      <c r="Q79" s="220"/>
      <c r="R79" s="220"/>
      <c r="S79" s="220"/>
      <c r="T79" s="220"/>
      <c r="U79" s="220"/>
      <c r="V79" s="220"/>
      <c r="W79" s="220"/>
      <c r="X79" s="220"/>
      <c r="Y79" s="220"/>
      <c r="Z79" s="220"/>
      <c r="AA79" s="220"/>
      <c r="AB79" s="219"/>
      <c r="AC79" s="219"/>
      <c r="AD79" s="219"/>
      <c r="AE79" s="219"/>
      <c r="AG79" s="220"/>
      <c r="AH79" s="221"/>
      <c r="AI79" s="222"/>
      <c r="AJ79" s="222"/>
      <c r="AK79" s="219"/>
      <c r="AL79" s="219"/>
      <c r="AM79" s="219"/>
      <c r="AN79" s="219"/>
      <c r="AO79" s="219"/>
    </row>
    <row r="80" spans="1:41" s="4" customFormat="1" ht="20" customHeight="1">
      <c r="A80" s="1157"/>
      <c r="B80" s="1151">
        <f>Skemaoplysninger!A74</f>
        <v>0</v>
      </c>
      <c r="C80" s="1152"/>
      <c r="D80" s="1152"/>
      <c r="E80" s="1152"/>
      <c r="F80" s="1152"/>
      <c r="G80" s="1152"/>
      <c r="H80" s="1147"/>
      <c r="I80" s="1146">
        <f>Skemaoplysninger!G74</f>
        <v>0</v>
      </c>
      <c r="J80" s="1147"/>
      <c r="K80" s="441">
        <f>Skemaoplysninger!I74</f>
        <v>0</v>
      </c>
      <c r="L80" s="235"/>
      <c r="M80" s="220"/>
      <c r="N80" s="220"/>
      <c r="O80" s="220"/>
      <c r="P80" s="220"/>
      <c r="Q80" s="220"/>
      <c r="R80" s="220"/>
      <c r="S80" s="220"/>
      <c r="T80" s="220"/>
      <c r="U80" s="220"/>
      <c r="V80" s="220"/>
      <c r="W80" s="220"/>
      <c r="X80" s="220"/>
      <c r="Y80" s="220"/>
      <c r="Z80" s="220"/>
      <c r="AA80" s="220"/>
      <c r="AB80" s="219"/>
      <c r="AC80" s="219"/>
      <c r="AD80" s="219"/>
      <c r="AE80" s="219"/>
      <c r="AG80" s="220"/>
      <c r="AH80" s="221"/>
      <c r="AI80" s="222"/>
      <c r="AJ80" s="222"/>
      <c r="AK80" s="219"/>
      <c r="AL80" s="219"/>
      <c r="AM80" s="219"/>
      <c r="AN80" s="219"/>
      <c r="AO80" s="219"/>
    </row>
    <row r="81" spans="1:41" s="4" customFormat="1" ht="20" customHeight="1">
      <c r="A81" s="1157"/>
      <c r="B81" s="1151">
        <f>Skemaoplysninger!A75</f>
        <v>0</v>
      </c>
      <c r="C81" s="1152"/>
      <c r="D81" s="1152"/>
      <c r="E81" s="1152"/>
      <c r="F81" s="1152"/>
      <c r="G81" s="1152"/>
      <c r="H81" s="1147"/>
      <c r="I81" s="1146">
        <f>Skemaoplysninger!G75</f>
        <v>0</v>
      </c>
      <c r="J81" s="1147"/>
      <c r="K81" s="441">
        <f>Skemaoplysninger!I75</f>
        <v>0</v>
      </c>
      <c r="L81" s="235"/>
      <c r="M81" s="220"/>
      <c r="N81" s="220"/>
      <c r="O81" s="220"/>
      <c r="P81" s="220"/>
      <c r="Q81" s="220"/>
      <c r="R81" s="220"/>
      <c r="S81" s="220"/>
      <c r="T81" s="220"/>
      <c r="U81" s="220"/>
      <c r="V81" s="220"/>
      <c r="W81" s="220"/>
      <c r="X81" s="220"/>
      <c r="Y81" s="220"/>
      <c r="Z81" s="220"/>
      <c r="AA81" s="220"/>
      <c r="AB81" s="219"/>
      <c r="AC81" s="219"/>
      <c r="AD81" s="219"/>
      <c r="AE81" s="219"/>
      <c r="AG81" s="220"/>
      <c r="AH81" s="221"/>
      <c r="AI81" s="222"/>
      <c r="AJ81" s="222"/>
      <c r="AK81" s="219"/>
      <c r="AL81" s="219"/>
      <c r="AM81" s="219"/>
      <c r="AN81" s="219"/>
      <c r="AO81" s="219"/>
    </row>
    <row r="82" spans="1:41" s="4" customFormat="1" ht="20" customHeight="1">
      <c r="A82" s="1157"/>
      <c r="B82" s="1151">
        <f>Skemaoplysninger!A76</f>
        <v>0</v>
      </c>
      <c r="C82" s="1152"/>
      <c r="D82" s="1152"/>
      <c r="E82" s="1152"/>
      <c r="F82" s="1152"/>
      <c r="G82" s="1152"/>
      <c r="H82" s="1147"/>
      <c r="I82" s="1146">
        <f>Skemaoplysninger!G76</f>
        <v>0</v>
      </c>
      <c r="J82" s="1147"/>
      <c r="K82" s="441">
        <f>Skemaoplysninger!I76</f>
        <v>0</v>
      </c>
      <c r="L82" s="235"/>
      <c r="M82" s="220"/>
      <c r="N82" s="220"/>
      <c r="O82" s="220"/>
      <c r="P82" s="220"/>
      <c r="Q82" s="220"/>
      <c r="R82" s="220"/>
      <c r="S82" s="220"/>
      <c r="T82" s="220"/>
      <c r="U82" s="220"/>
      <c r="V82" s="220"/>
      <c r="W82" s="220"/>
      <c r="X82" s="220"/>
      <c r="Y82" s="220"/>
      <c r="Z82" s="220"/>
      <c r="AA82" s="220"/>
      <c r="AB82" s="219"/>
      <c r="AC82" s="219"/>
      <c r="AD82" s="219"/>
      <c r="AE82" s="219"/>
      <c r="AG82" s="220"/>
      <c r="AH82" s="221"/>
      <c r="AI82" s="222"/>
      <c r="AJ82" s="222"/>
      <c r="AK82" s="219"/>
      <c r="AL82" s="219"/>
      <c r="AM82" s="219"/>
      <c r="AN82" s="219"/>
      <c r="AO82" s="219"/>
    </row>
    <row r="83" spans="1:41" s="4" customFormat="1" ht="20" customHeight="1">
      <c r="A83" s="1157"/>
      <c r="B83" s="1151">
        <f>Skemaoplysninger!A77</f>
        <v>0</v>
      </c>
      <c r="C83" s="1152"/>
      <c r="D83" s="1152"/>
      <c r="E83" s="1152"/>
      <c r="F83" s="1152"/>
      <c r="G83" s="1152"/>
      <c r="H83" s="1147"/>
      <c r="I83" s="1146">
        <f>Skemaoplysninger!G77</f>
        <v>0</v>
      </c>
      <c r="J83" s="1147"/>
      <c r="K83" s="441">
        <f>Skemaoplysninger!I77</f>
        <v>0</v>
      </c>
      <c r="L83" s="235"/>
      <c r="M83" s="220"/>
      <c r="N83" s="220"/>
      <c r="O83" s="220"/>
      <c r="P83" s="220"/>
      <c r="Q83" s="220"/>
      <c r="R83" s="220"/>
      <c r="S83" s="220"/>
      <c r="T83" s="220"/>
      <c r="U83" s="220"/>
      <c r="V83" s="220"/>
      <c r="W83" s="220"/>
      <c r="X83" s="220"/>
      <c r="Y83" s="220"/>
      <c r="Z83" s="220"/>
      <c r="AA83" s="220"/>
      <c r="AB83" s="219"/>
      <c r="AC83" s="219"/>
      <c r="AD83" s="219"/>
      <c r="AE83" s="219"/>
      <c r="AG83" s="220"/>
      <c r="AH83" s="221"/>
      <c r="AI83" s="222"/>
      <c r="AJ83" s="222"/>
      <c r="AK83" s="219"/>
      <c r="AL83" s="219"/>
      <c r="AM83" s="219"/>
      <c r="AN83" s="219"/>
      <c r="AO83" s="219"/>
    </row>
    <row r="84" spans="1:41" s="4" customFormat="1" ht="20" customHeight="1">
      <c r="A84" s="1157"/>
      <c r="B84" s="1151">
        <f>Skemaoplysninger!A78</f>
        <v>0</v>
      </c>
      <c r="C84" s="1152"/>
      <c r="D84" s="1152"/>
      <c r="E84" s="1152"/>
      <c r="F84" s="1152"/>
      <c r="G84" s="1152"/>
      <c r="H84" s="1147"/>
      <c r="I84" s="1146">
        <f>Skemaoplysninger!G78</f>
        <v>0</v>
      </c>
      <c r="J84" s="1147"/>
      <c r="K84" s="441">
        <f>Skemaoplysninger!I78</f>
        <v>0</v>
      </c>
      <c r="L84" s="235"/>
      <c r="M84" s="220"/>
      <c r="N84" s="220"/>
      <c r="O84" s="220"/>
      <c r="P84" s="220"/>
      <c r="Q84" s="220"/>
      <c r="R84" s="220"/>
      <c r="S84" s="220"/>
      <c r="T84" s="220"/>
      <c r="U84" s="220"/>
      <c r="V84" s="220"/>
      <c r="W84" s="220"/>
      <c r="X84" s="220"/>
      <c r="Y84" s="220"/>
      <c r="Z84" s="220"/>
      <c r="AA84" s="220"/>
      <c r="AB84" s="219"/>
      <c r="AC84" s="219"/>
      <c r="AD84" s="219"/>
      <c r="AE84" s="219"/>
      <c r="AG84" s="220"/>
      <c r="AH84" s="221"/>
      <c r="AI84" s="222"/>
      <c r="AJ84" s="222"/>
      <c r="AK84" s="219"/>
      <c r="AL84" s="219"/>
      <c r="AM84" s="219"/>
      <c r="AN84" s="219"/>
      <c r="AO84" s="219"/>
    </row>
    <row r="85" spans="1:41" s="4" customFormat="1" ht="20" customHeight="1">
      <c r="A85" s="1157"/>
      <c r="B85" s="1151">
        <f>Skemaoplysninger!A79</f>
        <v>0</v>
      </c>
      <c r="C85" s="1152"/>
      <c r="D85" s="1152"/>
      <c r="E85" s="1152"/>
      <c r="F85" s="1152"/>
      <c r="G85" s="1152"/>
      <c r="H85" s="1147"/>
      <c r="I85" s="1146">
        <f>Skemaoplysninger!G79</f>
        <v>0</v>
      </c>
      <c r="J85" s="1147"/>
      <c r="K85" s="441">
        <f>Skemaoplysninger!I79</f>
        <v>0</v>
      </c>
      <c r="L85" s="235"/>
      <c r="M85" s="220"/>
      <c r="N85" s="220"/>
      <c r="O85" s="220"/>
      <c r="P85" s="220"/>
      <c r="Q85" s="220"/>
      <c r="R85" s="220"/>
      <c r="S85" s="220"/>
      <c r="T85" s="220"/>
      <c r="U85" s="220"/>
      <c r="V85" s="220"/>
      <c r="W85" s="220"/>
      <c r="X85" s="220"/>
      <c r="Y85" s="220"/>
      <c r="Z85" s="220"/>
      <c r="AA85" s="220"/>
      <c r="AB85" s="219"/>
      <c r="AC85" s="219"/>
      <c r="AD85" s="219"/>
      <c r="AE85" s="219"/>
      <c r="AG85" s="220"/>
      <c r="AH85" s="221"/>
      <c r="AI85" s="222"/>
      <c r="AJ85" s="222"/>
      <c r="AK85" s="219"/>
      <c r="AL85" s="219"/>
      <c r="AM85" s="219"/>
      <c r="AN85" s="219"/>
      <c r="AO85" s="219"/>
    </row>
    <row r="86" spans="1:41" s="4" customFormat="1" ht="20" customHeight="1">
      <c r="A86" s="1157"/>
      <c r="B86" s="1151">
        <f>Skemaoplysninger!A80</f>
        <v>0</v>
      </c>
      <c r="C86" s="1152"/>
      <c r="D86" s="1152"/>
      <c r="E86" s="1152"/>
      <c r="F86" s="1152"/>
      <c r="G86" s="1152"/>
      <c r="H86" s="1147"/>
      <c r="I86" s="1146">
        <f>Skemaoplysninger!G80</f>
        <v>0</v>
      </c>
      <c r="J86" s="1147"/>
      <c r="K86" s="441">
        <f>Skemaoplysninger!I80</f>
        <v>0</v>
      </c>
      <c r="L86" s="235"/>
      <c r="M86" s="220"/>
      <c r="N86" s="220"/>
      <c r="O86" s="220"/>
      <c r="P86" s="220"/>
      <c r="Q86" s="220"/>
      <c r="R86" s="220"/>
      <c r="S86" s="220"/>
      <c r="T86" s="220"/>
      <c r="U86" s="220"/>
      <c r="V86" s="220"/>
      <c r="W86" s="220"/>
      <c r="X86" s="220"/>
      <c r="Y86" s="220"/>
      <c r="Z86" s="220"/>
      <c r="AA86" s="220"/>
      <c r="AB86" s="219"/>
      <c r="AC86" s="219"/>
      <c r="AD86" s="219"/>
      <c r="AE86" s="219"/>
      <c r="AG86" s="220"/>
      <c r="AH86" s="221"/>
      <c r="AI86" s="222"/>
      <c r="AJ86" s="222"/>
      <c r="AK86" s="219"/>
      <c r="AL86" s="219"/>
      <c r="AM86" s="219"/>
      <c r="AN86" s="219"/>
      <c r="AO86" s="219"/>
    </row>
    <row r="87" spans="1:41" s="4" customFormat="1" ht="20" customHeight="1">
      <c r="A87" s="1157"/>
      <c r="B87" s="1151">
        <f>Skemaoplysninger!A81</f>
        <v>0</v>
      </c>
      <c r="C87" s="1152"/>
      <c r="D87" s="1152"/>
      <c r="E87" s="1152"/>
      <c r="F87" s="1152"/>
      <c r="G87" s="1152"/>
      <c r="H87" s="1147"/>
      <c r="I87" s="1146">
        <f>Skemaoplysninger!G81</f>
        <v>0</v>
      </c>
      <c r="J87" s="1147"/>
      <c r="K87" s="441">
        <f>Skemaoplysninger!I81</f>
        <v>0</v>
      </c>
      <c r="L87" s="235"/>
      <c r="M87" s="220"/>
      <c r="N87" s="220"/>
      <c r="O87" s="220"/>
      <c r="P87" s="220"/>
      <c r="Q87" s="220"/>
      <c r="R87" s="220"/>
      <c r="S87" s="220"/>
      <c r="T87" s="220"/>
      <c r="U87" s="220"/>
      <c r="V87" s="220"/>
      <c r="W87" s="220"/>
      <c r="X87" s="220"/>
      <c r="Y87" s="220"/>
      <c r="Z87" s="220"/>
      <c r="AA87" s="220"/>
      <c r="AB87" s="219"/>
      <c r="AC87" s="219"/>
      <c r="AD87" s="219"/>
      <c r="AE87" s="219"/>
      <c r="AG87" s="220"/>
      <c r="AH87" s="221"/>
      <c r="AI87" s="222"/>
      <c r="AJ87" s="222"/>
      <c r="AK87" s="219"/>
      <c r="AL87" s="219"/>
      <c r="AM87" s="219"/>
      <c r="AN87" s="219"/>
      <c r="AO87" s="219"/>
    </row>
    <row r="88" spans="1:41" s="4" customFormat="1" ht="20" customHeight="1">
      <c r="A88" s="1157"/>
      <c r="B88" s="1151">
        <f>Skemaoplysninger!A82</f>
        <v>0</v>
      </c>
      <c r="C88" s="1152"/>
      <c r="D88" s="1152"/>
      <c r="E88" s="1152"/>
      <c r="F88" s="1152"/>
      <c r="G88" s="1152"/>
      <c r="H88" s="1147"/>
      <c r="I88" s="1146">
        <f>Skemaoplysninger!G82</f>
        <v>0</v>
      </c>
      <c r="J88" s="1147"/>
      <c r="K88" s="441">
        <f>Skemaoplysninger!I82</f>
        <v>0</v>
      </c>
      <c r="L88" s="235"/>
      <c r="M88" s="220"/>
      <c r="N88" s="220"/>
      <c r="O88" s="220"/>
      <c r="P88" s="220"/>
      <c r="Q88" s="220"/>
      <c r="R88" s="220"/>
      <c r="S88" s="220"/>
      <c r="T88" s="220"/>
      <c r="U88" s="220"/>
      <c r="V88" s="220"/>
      <c r="W88" s="220"/>
      <c r="X88" s="220"/>
      <c r="Y88" s="220"/>
      <c r="Z88" s="220"/>
      <c r="AA88" s="220"/>
      <c r="AB88" s="219"/>
      <c r="AC88" s="219"/>
      <c r="AD88" s="219"/>
      <c r="AE88" s="219"/>
      <c r="AG88" s="220"/>
      <c r="AH88" s="221"/>
      <c r="AI88" s="222"/>
      <c r="AJ88" s="222"/>
      <c r="AK88" s="219"/>
      <c r="AL88" s="219"/>
      <c r="AM88" s="219"/>
      <c r="AN88" s="219"/>
      <c r="AO88" s="219"/>
    </row>
    <row r="89" spans="1:41" s="4" customFormat="1" ht="20" customHeight="1">
      <c r="A89" s="1157"/>
      <c r="B89" s="1151">
        <f>Skemaoplysninger!A83</f>
        <v>0</v>
      </c>
      <c r="C89" s="1152"/>
      <c r="D89" s="1152"/>
      <c r="E89" s="1152"/>
      <c r="F89" s="1152"/>
      <c r="G89" s="1152"/>
      <c r="H89" s="1147"/>
      <c r="I89" s="1146">
        <f>Skemaoplysninger!G83</f>
        <v>0</v>
      </c>
      <c r="J89" s="1147"/>
      <c r="K89" s="441">
        <f>Skemaoplysninger!I83</f>
        <v>0</v>
      </c>
      <c r="L89" s="235"/>
      <c r="M89" s="220"/>
      <c r="N89" s="220"/>
      <c r="O89" s="220"/>
      <c r="P89" s="220"/>
      <c r="Q89" s="220"/>
      <c r="R89" s="220"/>
      <c r="S89" s="220"/>
      <c r="T89" s="220"/>
      <c r="U89" s="220"/>
      <c r="V89" s="220"/>
      <c r="W89" s="220"/>
      <c r="X89" s="220"/>
      <c r="Y89" s="220"/>
      <c r="Z89" s="220"/>
      <c r="AA89" s="220"/>
      <c r="AB89" s="219"/>
      <c r="AC89" s="219"/>
      <c r="AD89" s="219"/>
      <c r="AE89" s="219"/>
      <c r="AG89" s="220"/>
      <c r="AH89" s="221"/>
      <c r="AI89" s="222"/>
      <c r="AJ89" s="222"/>
      <c r="AK89" s="219"/>
      <c r="AL89" s="219"/>
      <c r="AM89" s="219"/>
      <c r="AN89" s="219"/>
      <c r="AO89" s="219"/>
    </row>
    <row r="90" spans="1:41" s="4" customFormat="1" ht="20" customHeight="1">
      <c r="A90" s="1157"/>
      <c r="B90" s="1151">
        <f>Skemaoplysninger!A84</f>
        <v>0</v>
      </c>
      <c r="C90" s="1152"/>
      <c r="D90" s="1152"/>
      <c r="E90" s="1152"/>
      <c r="F90" s="1152"/>
      <c r="G90" s="1152"/>
      <c r="H90" s="1147"/>
      <c r="I90" s="1146">
        <f>Skemaoplysninger!G84</f>
        <v>0</v>
      </c>
      <c r="J90" s="1147"/>
      <c r="K90" s="441">
        <f>Skemaoplysninger!I84</f>
        <v>0</v>
      </c>
      <c r="L90" s="235"/>
      <c r="M90" s="220"/>
      <c r="N90" s="220"/>
      <c r="O90" s="220"/>
      <c r="P90" s="220"/>
      <c r="Q90" s="220"/>
      <c r="R90" s="220"/>
      <c r="S90" s="220"/>
      <c r="T90" s="220"/>
      <c r="U90" s="220"/>
      <c r="V90" s="220"/>
      <c r="W90" s="220"/>
      <c r="X90" s="220"/>
      <c r="Y90" s="220"/>
      <c r="Z90" s="220"/>
      <c r="AA90" s="220"/>
      <c r="AB90" s="219"/>
      <c r="AC90" s="219"/>
      <c r="AD90" s="219"/>
      <c r="AE90" s="219"/>
      <c r="AG90" s="220"/>
      <c r="AH90" s="221"/>
      <c r="AI90" s="222"/>
      <c r="AJ90" s="222"/>
      <c r="AK90" s="219"/>
      <c r="AL90" s="219"/>
      <c r="AM90" s="219"/>
      <c r="AN90" s="219"/>
      <c r="AO90" s="219"/>
    </row>
    <row r="91" spans="1:41" s="4" customFormat="1" ht="20" customHeight="1">
      <c r="A91" s="1157"/>
      <c r="B91" s="1151">
        <f>Skemaoplysninger!A85</f>
        <v>0</v>
      </c>
      <c r="C91" s="1152"/>
      <c r="D91" s="1152"/>
      <c r="E91" s="1152"/>
      <c r="F91" s="1152"/>
      <c r="G91" s="1152"/>
      <c r="H91" s="1147"/>
      <c r="I91" s="1146">
        <f>Skemaoplysninger!G85</f>
        <v>0</v>
      </c>
      <c r="J91" s="1147"/>
      <c r="K91" s="441">
        <f>Skemaoplysninger!I85</f>
        <v>0</v>
      </c>
      <c r="L91" s="235"/>
      <c r="M91" s="220"/>
      <c r="N91" s="220"/>
      <c r="O91" s="220"/>
      <c r="P91" s="220"/>
      <c r="Q91" s="220"/>
      <c r="R91" s="220"/>
      <c r="S91" s="220"/>
      <c r="T91" s="220"/>
      <c r="U91" s="220"/>
      <c r="V91" s="220"/>
      <c r="W91" s="220"/>
      <c r="X91" s="220"/>
      <c r="Y91" s="220"/>
      <c r="Z91" s="220"/>
      <c r="AA91" s="220"/>
      <c r="AB91" s="219"/>
      <c r="AC91" s="219"/>
      <c r="AD91" s="219"/>
      <c r="AE91" s="219"/>
      <c r="AG91" s="220"/>
      <c r="AH91" s="221"/>
      <c r="AI91" s="222"/>
      <c r="AJ91" s="222"/>
      <c r="AK91" s="219"/>
      <c r="AL91" s="219"/>
      <c r="AM91" s="219"/>
      <c r="AN91" s="219"/>
      <c r="AO91" s="219"/>
    </row>
    <row r="92" spans="1:41" s="4" customFormat="1" ht="20" customHeight="1">
      <c r="A92" s="1157"/>
      <c r="B92" s="1151">
        <f>Skemaoplysninger!A86</f>
        <v>0</v>
      </c>
      <c r="C92" s="1152"/>
      <c r="D92" s="1152"/>
      <c r="E92" s="1152"/>
      <c r="F92" s="1152"/>
      <c r="G92" s="1152"/>
      <c r="H92" s="1147"/>
      <c r="I92" s="1146">
        <f>Skemaoplysninger!G86</f>
        <v>0</v>
      </c>
      <c r="J92" s="1147"/>
      <c r="K92" s="441">
        <f>Skemaoplysninger!I86</f>
        <v>0</v>
      </c>
      <c r="L92" s="235"/>
      <c r="M92" s="220"/>
      <c r="N92" s="220"/>
      <c r="O92" s="220"/>
      <c r="P92" s="220"/>
      <c r="Q92" s="220"/>
      <c r="R92" s="220"/>
      <c r="S92" s="220"/>
      <c r="T92" s="220"/>
      <c r="U92" s="220"/>
      <c r="V92" s="220"/>
      <c r="W92" s="220"/>
      <c r="X92" s="220"/>
      <c r="Y92" s="220"/>
      <c r="Z92" s="220"/>
      <c r="AA92" s="220"/>
      <c r="AB92" s="219"/>
      <c r="AC92" s="219"/>
      <c r="AD92" s="219"/>
      <c r="AE92" s="219"/>
      <c r="AG92" s="220"/>
      <c r="AH92" s="221"/>
      <c r="AI92" s="222"/>
      <c r="AJ92" s="222"/>
      <c r="AK92" s="219"/>
      <c r="AL92" s="219"/>
      <c r="AM92" s="219"/>
      <c r="AN92" s="219"/>
      <c r="AO92" s="219"/>
    </row>
    <row r="93" spans="1:41" s="4" customFormat="1" ht="20" customHeight="1">
      <c r="A93" s="1157"/>
      <c r="B93" s="1151">
        <f>Skemaoplysninger!A87</f>
        <v>0</v>
      </c>
      <c r="C93" s="1152"/>
      <c r="D93" s="1152"/>
      <c r="E93" s="1152"/>
      <c r="F93" s="1152"/>
      <c r="G93" s="1152"/>
      <c r="H93" s="1147"/>
      <c r="I93" s="1146">
        <f>Skemaoplysninger!G87</f>
        <v>0</v>
      </c>
      <c r="J93" s="1147"/>
      <c r="K93" s="441">
        <f>Skemaoplysninger!I87</f>
        <v>0</v>
      </c>
      <c r="L93" s="235"/>
      <c r="M93" s="220"/>
      <c r="N93" s="220"/>
      <c r="O93" s="220"/>
      <c r="P93" s="220"/>
      <c r="Q93" s="220"/>
      <c r="R93" s="220"/>
      <c r="S93" s="220"/>
      <c r="T93" s="220"/>
      <c r="U93" s="220"/>
      <c r="V93" s="220"/>
      <c r="W93" s="220"/>
      <c r="X93" s="220"/>
      <c r="Y93" s="220"/>
      <c r="Z93" s="220"/>
      <c r="AA93" s="220"/>
      <c r="AB93" s="219"/>
      <c r="AC93" s="219"/>
      <c r="AD93" s="219"/>
      <c r="AE93" s="219"/>
      <c r="AG93" s="220"/>
      <c r="AH93" s="221"/>
      <c r="AI93" s="222"/>
      <c r="AJ93" s="222"/>
      <c r="AK93" s="219"/>
      <c r="AL93" s="219"/>
      <c r="AM93" s="219"/>
      <c r="AN93" s="219"/>
      <c r="AO93" s="219"/>
    </row>
    <row r="94" spans="1:41" s="4" customFormat="1" ht="20" customHeight="1">
      <c r="A94" s="1157"/>
      <c r="B94" s="1151">
        <f>Skemaoplysninger!A88</f>
        <v>0</v>
      </c>
      <c r="C94" s="1152"/>
      <c r="D94" s="1152"/>
      <c r="E94" s="1152"/>
      <c r="F94" s="1152"/>
      <c r="G94" s="1152"/>
      <c r="H94" s="1147"/>
      <c r="I94" s="1146">
        <f>Skemaoplysninger!G88</f>
        <v>0</v>
      </c>
      <c r="J94" s="1147"/>
      <c r="K94" s="441">
        <f>Skemaoplysninger!I88</f>
        <v>0</v>
      </c>
      <c r="L94" s="235"/>
      <c r="M94" s="220"/>
      <c r="N94" s="220"/>
      <c r="O94" s="220"/>
      <c r="P94" s="220"/>
      <c r="Q94" s="220"/>
      <c r="R94" s="220"/>
      <c r="S94" s="220"/>
      <c r="T94" s="220"/>
      <c r="U94" s="220"/>
      <c r="V94" s="220"/>
      <c r="W94" s="220"/>
      <c r="X94" s="220"/>
      <c r="Y94" s="220"/>
      <c r="Z94" s="220"/>
      <c r="AA94" s="220"/>
      <c r="AB94" s="219"/>
      <c r="AC94" s="219"/>
      <c r="AD94" s="219"/>
      <c r="AE94" s="219"/>
      <c r="AG94" s="220"/>
      <c r="AH94" s="221"/>
      <c r="AI94" s="222"/>
      <c r="AJ94" s="222"/>
      <c r="AK94" s="219"/>
      <c r="AL94" s="219"/>
      <c r="AM94" s="219"/>
      <c r="AN94" s="219"/>
      <c r="AO94" s="219"/>
    </row>
    <row r="95" spans="1:41" s="4" customFormat="1" ht="20" customHeight="1">
      <c r="A95" s="1157"/>
      <c r="B95" s="1151">
        <f>Skemaoplysninger!A89</f>
        <v>0</v>
      </c>
      <c r="C95" s="1152"/>
      <c r="D95" s="1152"/>
      <c r="E95" s="1152"/>
      <c r="F95" s="1152"/>
      <c r="G95" s="1152"/>
      <c r="H95" s="1147"/>
      <c r="I95" s="1146">
        <f>Skemaoplysninger!G89</f>
        <v>0</v>
      </c>
      <c r="J95" s="1147"/>
      <c r="K95" s="441">
        <f>Skemaoplysninger!I89</f>
        <v>0</v>
      </c>
      <c r="L95" s="235"/>
      <c r="M95" s="220"/>
      <c r="N95" s="220"/>
      <c r="O95" s="220"/>
      <c r="P95" s="220"/>
      <c r="Q95" s="220"/>
      <c r="R95" s="220"/>
      <c r="S95" s="220"/>
      <c r="T95" s="220"/>
      <c r="U95" s="220"/>
      <c r="V95" s="220"/>
      <c r="W95" s="220"/>
      <c r="X95" s="220"/>
      <c r="Y95" s="220"/>
      <c r="Z95" s="220"/>
      <c r="AA95" s="220"/>
      <c r="AB95" s="219"/>
      <c r="AC95" s="219"/>
      <c r="AD95" s="219"/>
      <c r="AE95" s="219"/>
      <c r="AG95" s="220"/>
      <c r="AH95" s="221"/>
      <c r="AI95" s="222"/>
      <c r="AJ95" s="222"/>
      <c r="AK95" s="219"/>
      <c r="AL95" s="219"/>
      <c r="AM95" s="219"/>
      <c r="AN95" s="219"/>
      <c r="AO95" s="219"/>
    </row>
    <row r="96" spans="1:41" s="4" customFormat="1" ht="20" customHeight="1" thickBot="1">
      <c r="A96" s="1157"/>
      <c r="B96" s="1151">
        <f>Skemaoplysninger!A90</f>
        <v>0</v>
      </c>
      <c r="C96" s="1152"/>
      <c r="D96" s="1152"/>
      <c r="E96" s="1152"/>
      <c r="F96" s="1152"/>
      <c r="G96" s="1152"/>
      <c r="H96" s="1147"/>
      <c r="I96" s="1146">
        <f>Skemaoplysninger!G90</f>
        <v>0</v>
      </c>
      <c r="J96" s="1147"/>
      <c r="K96" s="441">
        <f>Skemaoplysninger!I90</f>
        <v>0</v>
      </c>
      <c r="L96" s="235"/>
      <c r="M96" s="220"/>
      <c r="N96" s="220"/>
      <c r="O96" s="220"/>
      <c r="P96" s="220"/>
      <c r="Q96" s="220"/>
      <c r="R96" s="220"/>
      <c r="S96" s="220"/>
      <c r="T96" s="220"/>
      <c r="U96" s="220"/>
      <c r="V96" s="220"/>
      <c r="W96" s="220"/>
      <c r="X96" s="220"/>
      <c r="Y96" s="220"/>
      <c r="Z96" s="220"/>
      <c r="AA96" s="220"/>
      <c r="AB96" s="219"/>
      <c r="AC96" s="219"/>
      <c r="AD96" s="219"/>
      <c r="AE96" s="219"/>
      <c r="AG96" s="220"/>
      <c r="AH96" s="221"/>
      <c r="AI96" s="222"/>
      <c r="AJ96" s="222"/>
      <c r="AK96" s="219"/>
      <c r="AL96" s="219"/>
      <c r="AM96" s="219"/>
      <c r="AN96" s="219"/>
      <c r="AO96" s="219"/>
    </row>
    <row r="97" spans="1:41" s="4" customFormat="1" ht="30" customHeight="1" thickBot="1">
      <c r="A97" s="1158"/>
      <c r="B97" s="1153" t="s">
        <v>243</v>
      </c>
      <c r="C97" s="1154"/>
      <c r="D97" s="1154"/>
      <c r="E97" s="1154"/>
      <c r="F97" s="1154"/>
      <c r="G97" s="1154"/>
      <c r="H97" s="1154"/>
      <c r="I97" s="1154"/>
      <c r="J97" s="1155"/>
      <c r="K97" s="442">
        <f>SUM(K52:K96)</f>
        <v>0</v>
      </c>
      <c r="L97" s="235"/>
      <c r="M97" s="220"/>
      <c r="N97" s="220"/>
      <c r="O97" s="220"/>
      <c r="P97" s="220"/>
      <c r="Q97" s="220"/>
      <c r="R97" s="220"/>
      <c r="S97" s="220"/>
      <c r="T97" s="220"/>
      <c r="U97" s="220"/>
      <c r="V97" s="220"/>
      <c r="W97" s="220"/>
      <c r="X97" s="220"/>
      <c r="Y97" s="220"/>
      <c r="Z97" s="220"/>
      <c r="AA97" s="220"/>
      <c r="AB97" s="219"/>
      <c r="AC97" s="219"/>
      <c r="AD97" s="219"/>
      <c r="AE97" s="219"/>
      <c r="AG97" s="220"/>
      <c r="AH97" s="221"/>
      <c r="AI97" s="222"/>
      <c r="AJ97" s="222"/>
      <c r="AK97" s="219"/>
      <c r="AL97" s="219"/>
      <c r="AM97" s="219"/>
      <c r="AN97" s="219"/>
      <c r="AO97" s="219"/>
    </row>
    <row r="99" spans="1:41" ht="19">
      <c r="A99" s="682"/>
      <c r="B99" s="682"/>
      <c r="C99" s="390" t="s">
        <v>367</v>
      </c>
    </row>
    <row r="100" spans="1:41" ht="19">
      <c r="A100" s="682"/>
      <c r="B100" s="682"/>
      <c r="C100" s="377" t="s">
        <v>476</v>
      </c>
    </row>
    <row r="101" spans="1:41" ht="19">
      <c r="A101" s="682"/>
      <c r="B101" s="682"/>
      <c r="C101" s="377" t="s">
        <v>371</v>
      </c>
    </row>
    <row r="102" spans="1:41" ht="19">
      <c r="A102" s="682"/>
      <c r="B102" s="682"/>
      <c r="C102" s="377" t="s">
        <v>368</v>
      </c>
    </row>
    <row r="103" spans="1:41" ht="19">
      <c r="A103" s="682"/>
      <c r="B103" s="682"/>
      <c r="C103" s="377"/>
    </row>
    <row r="104" spans="1:41" ht="19">
      <c r="A104" s="682"/>
      <c r="B104" s="682"/>
      <c r="C104" s="390" t="s">
        <v>369</v>
      </c>
    </row>
    <row r="105" spans="1:41" ht="19">
      <c r="A105" s="682"/>
      <c r="B105" s="682"/>
      <c r="C105" s="377" t="s">
        <v>372</v>
      </c>
    </row>
    <row r="106" spans="1:41" ht="19">
      <c r="A106" s="682"/>
      <c r="B106" s="682"/>
      <c r="C106" s="377"/>
    </row>
    <row r="107" spans="1:41" ht="19">
      <c r="A107" s="682"/>
      <c r="B107" s="682"/>
      <c r="C107" s="390" t="s">
        <v>370</v>
      </c>
    </row>
  </sheetData>
  <sheetProtection sheet="1" objects="1" scenarios="1"/>
  <mergeCells count="151">
    <mergeCell ref="B19:I19"/>
    <mergeCell ref="B20:I20"/>
    <mergeCell ref="B21:I21"/>
    <mergeCell ref="B22:I22"/>
    <mergeCell ref="B23:I23"/>
    <mergeCell ref="B24:I24"/>
    <mergeCell ref="B25:I25"/>
    <mergeCell ref="B26:I26"/>
    <mergeCell ref="B27:I27"/>
    <mergeCell ref="B31:J31"/>
    <mergeCell ref="B35:K35"/>
    <mergeCell ref="B36:K36"/>
    <mergeCell ref="B37:K37"/>
    <mergeCell ref="B38:K38"/>
    <mergeCell ref="L3:L7"/>
    <mergeCell ref="B3:I3"/>
    <mergeCell ref="B4:I4"/>
    <mergeCell ref="B5:I5"/>
    <mergeCell ref="B7:I7"/>
    <mergeCell ref="B8:I8"/>
    <mergeCell ref="B9:I9"/>
    <mergeCell ref="K5:K7"/>
    <mergeCell ref="J3:J7"/>
    <mergeCell ref="B6:I6"/>
    <mergeCell ref="B10:I10"/>
    <mergeCell ref="B11:I11"/>
    <mergeCell ref="B12:I12"/>
    <mergeCell ref="B13:I13"/>
    <mergeCell ref="B14:I14"/>
    <mergeCell ref="B15:I15"/>
    <mergeCell ref="B16:I16"/>
    <mergeCell ref="B17:I17"/>
    <mergeCell ref="B18:I18"/>
    <mergeCell ref="B47:K47"/>
    <mergeCell ref="B48:K48"/>
    <mergeCell ref="B49:K49"/>
    <mergeCell ref="B42:K42"/>
    <mergeCell ref="B43:K43"/>
    <mergeCell ref="B44:K44"/>
    <mergeCell ref="B45:K45"/>
    <mergeCell ref="B46:K46"/>
    <mergeCell ref="B39:K39"/>
    <mergeCell ref="B40:K40"/>
    <mergeCell ref="B41:K41"/>
    <mergeCell ref="B96:H96"/>
    <mergeCell ref="I96:J96"/>
    <mergeCell ref="B56:H56"/>
    <mergeCell ref="I56:J56"/>
    <mergeCell ref="B78:H78"/>
    <mergeCell ref="I78:J78"/>
    <mergeCell ref="B79:H79"/>
    <mergeCell ref="I79:J79"/>
    <mergeCell ref="B80:H80"/>
    <mergeCell ref="I80:J80"/>
    <mergeCell ref="B81:H81"/>
    <mergeCell ref="I81:J81"/>
    <mergeCell ref="B94:H94"/>
    <mergeCell ref="I94:J94"/>
    <mergeCell ref="B95:H95"/>
    <mergeCell ref="I95:J95"/>
    <mergeCell ref="B57:H57"/>
    <mergeCell ref="B58:H58"/>
    <mergeCell ref="B59:H59"/>
    <mergeCell ref="B60:H60"/>
    <mergeCell ref="B61:H61"/>
    <mergeCell ref="B62:H62"/>
    <mergeCell ref="B63:H63"/>
    <mergeCell ref="B64:H64"/>
    <mergeCell ref="C2:K2"/>
    <mergeCell ref="I91:J91"/>
    <mergeCell ref="B92:H92"/>
    <mergeCell ref="I92:J92"/>
    <mergeCell ref="B93:H93"/>
    <mergeCell ref="I93:J93"/>
    <mergeCell ref="B51:H51"/>
    <mergeCell ref="I51:J51"/>
    <mergeCell ref="B52:H52"/>
    <mergeCell ref="I52:J52"/>
    <mergeCell ref="B53:H53"/>
    <mergeCell ref="I53:J53"/>
    <mergeCell ref="B54:H54"/>
    <mergeCell ref="I54:J54"/>
    <mergeCell ref="B55:H55"/>
    <mergeCell ref="I55:J55"/>
    <mergeCell ref="B50:J50"/>
    <mergeCell ref="B34:K34"/>
    <mergeCell ref="B32:H32"/>
    <mergeCell ref="I32:J32"/>
    <mergeCell ref="B28:I28"/>
    <mergeCell ref="B29:I29"/>
    <mergeCell ref="B30:I30"/>
    <mergeCell ref="K3:K4"/>
    <mergeCell ref="C1:K1"/>
    <mergeCell ref="A1:B2"/>
    <mergeCell ref="A99:B107"/>
    <mergeCell ref="B85:H85"/>
    <mergeCell ref="I85:J85"/>
    <mergeCell ref="B86:H86"/>
    <mergeCell ref="I86:J86"/>
    <mergeCell ref="B87:H87"/>
    <mergeCell ref="I87:J87"/>
    <mergeCell ref="B88:H88"/>
    <mergeCell ref="I88:J88"/>
    <mergeCell ref="B89:H89"/>
    <mergeCell ref="I89:J89"/>
    <mergeCell ref="B90:H90"/>
    <mergeCell ref="I90:J90"/>
    <mergeCell ref="B91:H91"/>
    <mergeCell ref="B82:H82"/>
    <mergeCell ref="I82:J82"/>
    <mergeCell ref="B83:H83"/>
    <mergeCell ref="I83:J83"/>
    <mergeCell ref="I84:J84"/>
    <mergeCell ref="B97:J97"/>
    <mergeCell ref="A3:A97"/>
    <mergeCell ref="B84:H84"/>
    <mergeCell ref="I75:J75"/>
    <mergeCell ref="I76:J76"/>
    <mergeCell ref="B65:H65"/>
    <mergeCell ref="B66:H66"/>
    <mergeCell ref="B67:H67"/>
    <mergeCell ref="B68:H68"/>
    <mergeCell ref="B69:H69"/>
    <mergeCell ref="B70:H70"/>
    <mergeCell ref="B71:H71"/>
    <mergeCell ref="B72:H72"/>
    <mergeCell ref="B73:H73"/>
    <mergeCell ref="I77:J77"/>
    <mergeCell ref="B33:K33"/>
    <mergeCell ref="B74:H74"/>
    <mergeCell ref="B75:H75"/>
    <mergeCell ref="B76:H76"/>
    <mergeCell ref="B77:H77"/>
    <mergeCell ref="I57:J57"/>
    <mergeCell ref="I58:J58"/>
    <mergeCell ref="I59:J59"/>
    <mergeCell ref="I60:J60"/>
    <mergeCell ref="I61:J61"/>
    <mergeCell ref="I62:J62"/>
    <mergeCell ref="I63:J63"/>
    <mergeCell ref="I64:J64"/>
    <mergeCell ref="I65:J65"/>
    <mergeCell ref="I66:J66"/>
    <mergeCell ref="I67:J67"/>
    <mergeCell ref="I68:J68"/>
    <mergeCell ref="I69:J69"/>
    <mergeCell ref="I70:J70"/>
    <mergeCell ref="I71:J71"/>
    <mergeCell ref="I72:J72"/>
    <mergeCell ref="I73:J73"/>
    <mergeCell ref="I74:J74"/>
  </mergeCells>
  <phoneticPr fontId="5" type="noConversion"/>
  <conditionalFormatting sqref="J8:J30">
    <cfRule type="expression" dxfId="381" priority="5" stopIfTrue="1">
      <formula>OR($B8&gt;0,)</formula>
    </cfRule>
  </conditionalFormatting>
  <conditionalFormatting sqref="K8:K30">
    <cfRule type="expression" dxfId="380" priority="1">
      <formula>OR($B8&gt;0,)</formula>
    </cfRule>
  </conditionalFormatting>
  <dataValidations count="1">
    <dataValidation type="list" allowBlank="1" showInputMessage="1" showErrorMessage="1" sqref="J8:J30" xr:uid="{9B0B7AB1-DE44-CF47-BD1F-E8E46542A039}">
      <formula1>$M$3:$M$4</formula1>
    </dataValidation>
  </dataValidations>
  <pageMargins left="0.7" right="0.7" top="0.75" bottom="0.75" header="0.3" footer="0.3"/>
  <pageSetup paperSize="9" scale="50" orientation="portrait" horizontalDpi="0"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EBFD-5646-4F4C-B89B-FA1756B0F904}">
  <sheetPr>
    <tabColor theme="4" tint="-0.249977111117893"/>
    <pageSetUpPr fitToPage="1"/>
  </sheetPr>
  <dimension ref="A1:K59"/>
  <sheetViews>
    <sheetView workbookViewId="0">
      <selection sqref="A1:A20"/>
    </sheetView>
  </sheetViews>
  <sheetFormatPr baseColWidth="10" defaultRowHeight="16"/>
  <cols>
    <col min="2" max="2" width="43.6640625" customWidth="1"/>
    <col min="3" max="4" width="16.83203125" customWidth="1"/>
    <col min="5" max="5" width="23.6640625" customWidth="1"/>
    <col min="6" max="8" width="16.83203125" customWidth="1"/>
    <col min="9" max="11" width="15" customWidth="1"/>
  </cols>
  <sheetData>
    <row r="1" spans="1:11" ht="19" customHeight="1">
      <c r="A1" s="1244" t="s">
        <v>399</v>
      </c>
      <c r="B1" s="1203" t="s">
        <v>565</v>
      </c>
      <c r="C1" s="1204"/>
      <c r="D1" s="1204"/>
      <c r="E1" s="1204"/>
      <c r="F1" s="1204"/>
      <c r="G1" s="1204"/>
      <c r="H1" s="1204"/>
      <c r="I1" s="1204"/>
      <c r="J1" s="1204"/>
      <c r="K1" s="1205"/>
    </row>
    <row r="2" spans="1:11" ht="20" customHeight="1" thickBot="1">
      <c r="A2" s="1245"/>
      <c r="B2" s="1206" t="str">
        <f>"Arbejdstidsopgørelse for "&amp;Stamoplysninger!E8&amp;" vedr. perioden: "&amp;Stamoplysninger!E11&amp;" - "&amp;Stamoplysninger!G11&amp;""</f>
        <v xml:space="preserve">Arbejdstidsopgørelse for  vedr. perioden:  - </v>
      </c>
      <c r="C2" s="1207"/>
      <c r="D2" s="1207"/>
      <c r="E2" s="1207"/>
      <c r="F2" s="1207"/>
      <c r="G2" s="1207"/>
      <c r="H2" s="1207"/>
      <c r="I2" s="1207"/>
      <c r="J2" s="1207"/>
      <c r="K2" s="1208"/>
    </row>
    <row r="3" spans="1:11" ht="20" customHeight="1" thickBot="1">
      <c r="A3" s="1245"/>
      <c r="B3" s="543"/>
      <c r="C3" s="1251" t="s">
        <v>558</v>
      </c>
      <c r="D3" s="1251"/>
      <c r="E3" s="1251"/>
      <c r="F3" s="1207" t="s">
        <v>559</v>
      </c>
      <c r="G3" s="1207"/>
      <c r="H3" s="1208"/>
      <c r="I3" s="1207" t="s">
        <v>560</v>
      </c>
      <c r="J3" s="1207"/>
      <c r="K3" s="1208"/>
    </row>
    <row r="4" spans="1:11" ht="35" customHeight="1">
      <c r="A4" s="1245"/>
      <c r="B4" s="296"/>
      <c r="C4" s="297" t="s">
        <v>307</v>
      </c>
      <c r="D4" s="297" t="s">
        <v>217</v>
      </c>
      <c r="E4" s="297" t="s">
        <v>353</v>
      </c>
      <c r="F4" s="302" t="s">
        <v>321</v>
      </c>
      <c r="G4" s="303" t="s">
        <v>322</v>
      </c>
      <c r="H4" s="304" t="s">
        <v>354</v>
      </c>
      <c r="I4" s="302" t="s">
        <v>561</v>
      </c>
      <c r="J4" s="303" t="s">
        <v>562</v>
      </c>
      <c r="K4" s="304" t="s">
        <v>563</v>
      </c>
    </row>
    <row r="5" spans="1:11" ht="16" customHeight="1">
      <c r="A5" s="1245"/>
      <c r="B5" s="298" t="s">
        <v>237</v>
      </c>
      <c r="C5" s="255">
        <f>August!I47</f>
        <v>0</v>
      </c>
      <c r="D5" s="300">
        <f>August!I48+August!I50+August!I49</f>
        <v>0</v>
      </c>
      <c r="E5" s="300">
        <f>August!I52</f>
        <v>0</v>
      </c>
      <c r="F5" s="305">
        <f>August!V47</f>
        <v>0</v>
      </c>
      <c r="G5" s="256">
        <f>SUM(August!V50:X53)</f>
        <v>0</v>
      </c>
      <c r="H5" s="258">
        <f>F5-G5</f>
        <v>0</v>
      </c>
      <c r="I5" s="305">
        <f>August!I55</f>
        <v>0</v>
      </c>
      <c r="J5" s="255">
        <f>SUM(August!I58:K61)</f>
        <v>0</v>
      </c>
      <c r="K5" s="258">
        <f>I5-J5</f>
        <v>0</v>
      </c>
    </row>
    <row r="6" spans="1:11" ht="16" customHeight="1">
      <c r="A6" s="1245"/>
      <c r="B6" s="299" t="s">
        <v>239</v>
      </c>
      <c r="C6" s="257">
        <f>September!I45</f>
        <v>0</v>
      </c>
      <c r="D6" s="301">
        <f>September!I46+September!I48+September!I47</f>
        <v>0</v>
      </c>
      <c r="E6" s="301">
        <f>September!I50</f>
        <v>0</v>
      </c>
      <c r="F6" s="306">
        <f>September!V43</f>
        <v>0</v>
      </c>
      <c r="G6" s="2">
        <f>SUM(September!V48:X51)</f>
        <v>0</v>
      </c>
      <c r="H6" s="259">
        <f>H5+F6-G6</f>
        <v>0</v>
      </c>
      <c r="I6" s="306">
        <f>September!I53+September!I54</f>
        <v>0</v>
      </c>
      <c r="J6" s="257">
        <f>SUM(September!I57:K60)</f>
        <v>0</v>
      </c>
      <c r="K6" s="259">
        <f t="shared" ref="K6:K16" si="0">I6-J6</f>
        <v>0</v>
      </c>
    </row>
    <row r="7" spans="1:11" ht="16" customHeight="1">
      <c r="A7" s="1245"/>
      <c r="B7" s="298" t="s">
        <v>240</v>
      </c>
      <c r="C7" s="255">
        <f>Oktober!I46</f>
        <v>0</v>
      </c>
      <c r="D7" s="300">
        <f>Oktober!I47+Oktober!I49+Oktober!I48</f>
        <v>0</v>
      </c>
      <c r="E7" s="300">
        <f>Oktober!I51</f>
        <v>0</v>
      </c>
      <c r="F7" s="305">
        <f>Oktober!V44</f>
        <v>0</v>
      </c>
      <c r="G7" s="256">
        <f>SUM(Oktober!V49:X52)</f>
        <v>0</v>
      </c>
      <c r="H7" s="358">
        <f t="shared" ref="H7:H16" si="1">H6+F7-G7</f>
        <v>0</v>
      </c>
      <c r="I7" s="305">
        <f>Oktober!I54+Oktober!I55</f>
        <v>0</v>
      </c>
      <c r="J7" s="255">
        <f>SUM(Oktober!I58:K61)</f>
        <v>0</v>
      </c>
      <c r="K7" s="258">
        <f>I7-J7</f>
        <v>0</v>
      </c>
    </row>
    <row r="8" spans="1:11" ht="16" customHeight="1">
      <c r="A8" s="1245"/>
      <c r="B8" s="299" t="s">
        <v>241</v>
      </c>
      <c r="C8" s="257">
        <f>November!I45</f>
        <v>0</v>
      </c>
      <c r="D8" s="301">
        <f>November!I46+November!I48+November!I47</f>
        <v>0</v>
      </c>
      <c r="E8" s="301">
        <f>November!I50</f>
        <v>0</v>
      </c>
      <c r="F8" s="306">
        <f>November!V43</f>
        <v>0</v>
      </c>
      <c r="G8" s="2">
        <f>SUM(November!V48:X51)</f>
        <v>0</v>
      </c>
      <c r="H8" s="259">
        <f t="shared" si="1"/>
        <v>0</v>
      </c>
      <c r="I8" s="306">
        <f>November!I53+November!I54</f>
        <v>0</v>
      </c>
      <c r="J8" s="257">
        <f>SUM(November!I57:K60)</f>
        <v>0</v>
      </c>
      <c r="K8" s="259">
        <f t="shared" si="0"/>
        <v>0</v>
      </c>
    </row>
    <row r="9" spans="1:11" ht="16" customHeight="1">
      <c r="A9" s="1245"/>
      <c r="B9" s="298" t="s">
        <v>285</v>
      </c>
      <c r="C9" s="255">
        <f>December!I46</f>
        <v>0</v>
      </c>
      <c r="D9" s="300">
        <f>December!I47+December!I49+December!I48</f>
        <v>0</v>
      </c>
      <c r="E9" s="300">
        <f>December!I51</f>
        <v>0</v>
      </c>
      <c r="F9" s="305">
        <f>December!V44</f>
        <v>0</v>
      </c>
      <c r="G9" s="256">
        <f>SUM(December!V49:X52)</f>
        <v>0</v>
      </c>
      <c r="H9" s="358">
        <f t="shared" si="1"/>
        <v>0</v>
      </c>
      <c r="I9" s="305">
        <f>December!I54+December!I55</f>
        <v>0</v>
      </c>
      <c r="J9" s="255">
        <f>SUM(December!I58:K61)</f>
        <v>0</v>
      </c>
      <c r="K9" s="258">
        <f t="shared" si="0"/>
        <v>0</v>
      </c>
    </row>
    <row r="10" spans="1:11" ht="16" customHeight="1">
      <c r="A10" s="1245"/>
      <c r="B10" s="299" t="s">
        <v>286</v>
      </c>
      <c r="C10" s="257">
        <f>Januar!I46</f>
        <v>0</v>
      </c>
      <c r="D10" s="301">
        <f>Januar!I47+Januar!I49+Januar!I48</f>
        <v>0</v>
      </c>
      <c r="E10" s="301">
        <f>Januar!I51</f>
        <v>0</v>
      </c>
      <c r="F10" s="306">
        <f>Januar!V44</f>
        <v>0</v>
      </c>
      <c r="G10" s="2">
        <f>SUM(Januar!V49:X52)</f>
        <v>0</v>
      </c>
      <c r="H10" s="259">
        <f t="shared" si="1"/>
        <v>0</v>
      </c>
      <c r="I10" s="306">
        <f>Januar!I54+Januar!I55</f>
        <v>0</v>
      </c>
      <c r="J10" s="257">
        <f>SUM(Januar!I58:K61)</f>
        <v>0</v>
      </c>
      <c r="K10" s="259">
        <f t="shared" si="0"/>
        <v>0</v>
      </c>
    </row>
    <row r="11" spans="1:11" ht="16" customHeight="1">
      <c r="A11" s="1245"/>
      <c r="B11" s="298" t="s">
        <v>287</v>
      </c>
      <c r="C11" s="255">
        <f>Februar!I44</f>
        <v>0</v>
      </c>
      <c r="D11" s="300">
        <f>Februar!I45+Februar!I47+Februar!I46</f>
        <v>0</v>
      </c>
      <c r="E11" s="300">
        <f>Februar!I49</f>
        <v>0</v>
      </c>
      <c r="F11" s="305">
        <f>Februar!V42</f>
        <v>0</v>
      </c>
      <c r="G11" s="256">
        <f>SUM(Februar!V47:X50)</f>
        <v>0</v>
      </c>
      <c r="H11" s="358">
        <f t="shared" si="1"/>
        <v>0</v>
      </c>
      <c r="I11" s="305">
        <f>Februar!I52+Februar!I53</f>
        <v>0</v>
      </c>
      <c r="J11" s="255">
        <f>SUM(Februar!I56:K59)</f>
        <v>0</v>
      </c>
      <c r="K11" s="258">
        <f t="shared" si="0"/>
        <v>0</v>
      </c>
    </row>
    <row r="12" spans="1:11" ht="16" customHeight="1">
      <c r="A12" s="1245"/>
      <c r="B12" s="299" t="s">
        <v>288</v>
      </c>
      <c r="C12" s="257">
        <f>Marts!I46</f>
        <v>0</v>
      </c>
      <c r="D12" s="301">
        <f>Marts!I47+Marts!I49+Marts!I48</f>
        <v>0</v>
      </c>
      <c r="E12" s="301">
        <f>Marts!I51</f>
        <v>0</v>
      </c>
      <c r="F12" s="306">
        <f>Marts!V44</f>
        <v>0</v>
      </c>
      <c r="G12" s="2">
        <f>SUM(Marts!V49:X52)</f>
        <v>0</v>
      </c>
      <c r="H12" s="259">
        <f t="shared" si="1"/>
        <v>0</v>
      </c>
      <c r="I12" s="306">
        <f>Marts!I54+Marts!I55</f>
        <v>0</v>
      </c>
      <c r="J12" s="257">
        <f>SUM(Marts!I58:K61)</f>
        <v>0</v>
      </c>
      <c r="K12" s="259">
        <f t="shared" si="0"/>
        <v>0</v>
      </c>
    </row>
    <row r="13" spans="1:11" ht="16" customHeight="1">
      <c r="A13" s="1245"/>
      <c r="B13" s="298" t="s">
        <v>289</v>
      </c>
      <c r="C13" s="255">
        <f>April!I45</f>
        <v>0</v>
      </c>
      <c r="D13" s="300">
        <f>April!I46+April!I48+April!I47</f>
        <v>0</v>
      </c>
      <c r="E13" s="300">
        <f>April!I50</f>
        <v>0</v>
      </c>
      <c r="F13" s="305">
        <f>April!V43</f>
        <v>0</v>
      </c>
      <c r="G13" s="256">
        <f>SUM(April!V48:X51)</f>
        <v>0</v>
      </c>
      <c r="H13" s="358">
        <f t="shared" si="1"/>
        <v>0</v>
      </c>
      <c r="I13" s="305">
        <f>April!I53+April!I54</f>
        <v>0</v>
      </c>
      <c r="J13" s="255">
        <f>SUM(April!I57:K60)</f>
        <v>0</v>
      </c>
      <c r="K13" s="258">
        <f t="shared" si="0"/>
        <v>0</v>
      </c>
    </row>
    <row r="14" spans="1:11" ht="16" customHeight="1">
      <c r="A14" s="1245"/>
      <c r="B14" s="299" t="s">
        <v>290</v>
      </c>
      <c r="C14" s="257">
        <f>Maj!I46</f>
        <v>0</v>
      </c>
      <c r="D14" s="301">
        <f>Maj!I47+Maj!I49++Maj!I48</f>
        <v>0</v>
      </c>
      <c r="E14" s="301">
        <f>Maj!I51</f>
        <v>0</v>
      </c>
      <c r="F14" s="306">
        <f>Maj!V44</f>
        <v>0</v>
      </c>
      <c r="G14" s="2">
        <f>SUM(Maj!V49:X52)</f>
        <v>0</v>
      </c>
      <c r="H14" s="259">
        <f t="shared" si="1"/>
        <v>0</v>
      </c>
      <c r="I14" s="306">
        <f>Maj!I54+Maj!I55</f>
        <v>0</v>
      </c>
      <c r="J14" s="257">
        <f>SUM(Maj!I58:K61)</f>
        <v>0</v>
      </c>
      <c r="K14" s="259">
        <f t="shared" si="0"/>
        <v>0</v>
      </c>
    </row>
    <row r="15" spans="1:11" ht="16" customHeight="1">
      <c r="A15" s="1245"/>
      <c r="B15" s="298" t="s">
        <v>291</v>
      </c>
      <c r="C15" s="255">
        <f>Juni!I45</f>
        <v>0</v>
      </c>
      <c r="D15" s="300">
        <f>Juni!I46+Juni!I48+Juni!I47</f>
        <v>0</v>
      </c>
      <c r="E15" s="300">
        <f>Juni!I50</f>
        <v>0</v>
      </c>
      <c r="F15" s="305">
        <f>Juni!V43</f>
        <v>0</v>
      </c>
      <c r="G15" s="256">
        <f>SUM(Juni!V48:X51)</f>
        <v>0</v>
      </c>
      <c r="H15" s="358">
        <f t="shared" si="1"/>
        <v>0</v>
      </c>
      <c r="I15" s="305">
        <f>Juni!I53+Juni!I54</f>
        <v>0</v>
      </c>
      <c r="J15" s="255">
        <f>SUM(Juni!I57:K60)</f>
        <v>0</v>
      </c>
      <c r="K15" s="258">
        <f t="shared" si="0"/>
        <v>0</v>
      </c>
    </row>
    <row r="16" spans="1:11" ht="17" customHeight="1" thickBot="1">
      <c r="A16" s="1245"/>
      <c r="B16" s="307" t="s">
        <v>292</v>
      </c>
      <c r="C16" s="308">
        <f>Juli!I46</f>
        <v>0</v>
      </c>
      <c r="D16" s="309">
        <f>Juli!I47+Juli!I49+Juli!I48</f>
        <v>0</v>
      </c>
      <c r="E16" s="309">
        <f>Juli!I51</f>
        <v>0</v>
      </c>
      <c r="F16" s="310">
        <f>Juli!V44</f>
        <v>0</v>
      </c>
      <c r="G16" s="311">
        <f>SUM(Juli!V49:X52)</f>
        <v>0</v>
      </c>
      <c r="H16" s="356">
        <f t="shared" si="1"/>
        <v>0</v>
      </c>
      <c r="I16" s="310">
        <f>Juli!I54+Juli!I55</f>
        <v>0</v>
      </c>
      <c r="J16" s="308">
        <f>SUM(Juli!I58:K61)</f>
        <v>0</v>
      </c>
      <c r="K16" s="259">
        <f t="shared" si="0"/>
        <v>0</v>
      </c>
    </row>
    <row r="17" spans="1:11" ht="17" customHeight="1" thickBot="1">
      <c r="A17" s="1245"/>
      <c r="B17" s="407" t="s">
        <v>162</v>
      </c>
      <c r="C17" s="408">
        <f>SUM(C5:C16)</f>
        <v>0</v>
      </c>
      <c r="D17" s="408">
        <f>SUM(D5:D16)</f>
        <v>0</v>
      </c>
      <c r="E17" s="409">
        <f>SUM(E5:E16)</f>
        <v>0</v>
      </c>
      <c r="F17" s="410">
        <f t="shared" ref="F17" si="2">SUM(F5:F16)</f>
        <v>0</v>
      </c>
      <c r="G17" s="410">
        <f>SUM(G5:G16)</f>
        <v>0</v>
      </c>
      <c r="H17" s="411">
        <f>H16</f>
        <v>0</v>
      </c>
      <c r="I17" s="1209" t="str">
        <f>"Særlige feriedage optjent "&amp;August!A7-1&amp;" skal afvikles 1. maj "&amp;August!A7&amp;" - 30. april "&amp;August!A7+1&amp;". Ledelsen må pr. 1. januar "&amp;August!A7+1&amp;" varsle de særlige feriedage der ikke er afholdt eller planlagt til afholdelse inden d. 30. april "&amp;August!A7+1&amp;" med 30 dages varsel. "</f>
        <v xml:space="preserve">Særlige feriedage optjent 2022 skal afvikles 1. maj 2023 - 30. april 2024. Ledelsen må pr. 1. januar 2024 varsle de særlige feriedage der ikke er afholdt eller planlagt til afholdelse inden d. 30. april 2024 med 30 dages varsel. </v>
      </c>
      <c r="J17" s="1210"/>
      <c r="K17" s="1211"/>
    </row>
    <row r="18" spans="1:11">
      <c r="A18" s="1245"/>
      <c r="B18" s="1247" t="s">
        <v>376</v>
      </c>
      <c r="C18" s="1248"/>
      <c r="D18" s="1248"/>
      <c r="E18" s="403">
        <f>IF(C17&gt;E17,(E17-C17),0)</f>
        <v>0</v>
      </c>
      <c r="F18" s="1249"/>
      <c r="G18" s="1249"/>
      <c r="H18" s="1250"/>
      <c r="I18" s="1212"/>
      <c r="J18" s="1213"/>
      <c r="K18" s="1214"/>
    </row>
    <row r="19" spans="1:11">
      <c r="A19" s="1245"/>
      <c r="B19" s="1226" t="s">
        <v>378</v>
      </c>
      <c r="C19" s="1227"/>
      <c r="D19" s="1227"/>
      <c r="E19" s="255">
        <f>IF(E17&gt;C17,(E17-C17),0)</f>
        <v>0</v>
      </c>
      <c r="F19" s="1227"/>
      <c r="G19" s="1227"/>
      <c r="H19" s="1228"/>
      <c r="I19" s="1212"/>
      <c r="J19" s="1213"/>
      <c r="K19" s="1214"/>
    </row>
    <row r="20" spans="1:11" ht="17" thickBot="1">
      <c r="A20" s="1246"/>
      <c r="B20" s="1229" t="s">
        <v>377</v>
      </c>
      <c r="C20" s="1230"/>
      <c r="D20" s="1230"/>
      <c r="E20" s="1230"/>
      <c r="F20" s="1230"/>
      <c r="G20" s="1230"/>
      <c r="H20" s="404">
        <f>IF(H17&gt;0,H17,0)</f>
        <v>0</v>
      </c>
      <c r="I20" s="1215"/>
      <c r="J20" s="1216"/>
      <c r="K20" s="1217"/>
    </row>
    <row r="21" spans="1:11" ht="17" thickBot="1">
      <c r="E21" s="1"/>
    </row>
    <row r="22" spans="1:11" ht="21">
      <c r="A22" s="1237" t="s">
        <v>416</v>
      </c>
      <c r="B22" s="1243" t="s">
        <v>421</v>
      </c>
      <c r="C22" s="1204"/>
      <c r="D22" s="1204"/>
      <c r="E22" s="1204"/>
      <c r="F22" s="1220" t="s">
        <v>422</v>
      </c>
      <c r="G22" s="1221"/>
      <c r="H22" s="1222"/>
      <c r="I22" s="1220" t="s">
        <v>564</v>
      </c>
      <c r="J22" s="1221"/>
      <c r="K22" s="1222"/>
    </row>
    <row r="23" spans="1:11" ht="52">
      <c r="A23" s="1238"/>
      <c r="B23" s="449"/>
      <c r="C23" s="450" t="str">
        <f>C4</f>
        <v>Nettoarbejdstid</v>
      </c>
      <c r="D23" s="450" t="str">
        <f t="shared" ref="D23:E23" si="3">D4</f>
        <v>Planlagt arbejdstid</v>
      </c>
      <c r="E23" s="450" t="str">
        <f t="shared" si="3"/>
        <v>Faktisk arbejdstid(uden afspadsering)</v>
      </c>
      <c r="F23" s="452" t="str">
        <f>F4</f>
        <v>Afspadseringstimer optjent</v>
      </c>
      <c r="G23" s="453" t="str">
        <f t="shared" ref="G23:H23" si="4">G4</f>
        <v>Afspadseringstimer afholdt</v>
      </c>
      <c r="H23" s="454" t="str">
        <f t="shared" si="4"/>
        <v>Afspadseringstimer saldo</v>
      </c>
      <c r="I23" s="452" t="str">
        <f>I4</f>
        <v>Særlige feriedage primo</v>
      </c>
      <c r="J23" s="453" t="str">
        <f t="shared" ref="J23:K23" si="5">J4</f>
        <v>Særlige feriedage afholdt</v>
      </c>
      <c r="K23" s="454" t="str">
        <f t="shared" si="5"/>
        <v>Særlige feriedage rest</v>
      </c>
    </row>
    <row r="24" spans="1:11">
      <c r="A24" s="1239"/>
      <c r="B24" s="256" t="s">
        <v>237</v>
      </c>
      <c r="C24" s="255">
        <f>C5</f>
        <v>0</v>
      </c>
      <c r="D24" s="255">
        <f t="shared" ref="D24:E24" si="6">D5</f>
        <v>0</v>
      </c>
      <c r="E24" s="300">
        <f t="shared" si="6"/>
        <v>0</v>
      </c>
      <c r="F24" s="455">
        <f t="shared" ref="F24:G24" si="7">F5</f>
        <v>0</v>
      </c>
      <c r="G24" s="258">
        <f t="shared" si="7"/>
        <v>0</v>
      </c>
      <c r="H24" s="258">
        <f>H5</f>
        <v>0</v>
      </c>
      <c r="I24" s="455">
        <f>I5</f>
        <v>0</v>
      </c>
      <c r="J24" s="258">
        <f>J5</f>
        <v>0</v>
      </c>
      <c r="K24" s="258">
        <f>K5</f>
        <v>0</v>
      </c>
    </row>
    <row r="25" spans="1:11">
      <c r="A25" s="1239"/>
      <c r="B25" s="2" t="s">
        <v>239</v>
      </c>
      <c r="C25" s="257">
        <f t="shared" ref="C25:E26" si="8">C6</f>
        <v>0</v>
      </c>
      <c r="D25" s="257">
        <f t="shared" si="8"/>
        <v>0</v>
      </c>
      <c r="E25" s="301">
        <f t="shared" si="8"/>
        <v>0</v>
      </c>
      <c r="F25" s="456">
        <f t="shared" ref="F25:H25" si="9">F6</f>
        <v>0</v>
      </c>
      <c r="G25" s="259">
        <f t="shared" si="9"/>
        <v>0</v>
      </c>
      <c r="H25" s="259">
        <f t="shared" si="9"/>
        <v>0</v>
      </c>
      <c r="I25" s="456">
        <f>I6</f>
        <v>0</v>
      </c>
      <c r="J25" s="259">
        <f t="shared" ref="J25:K25" si="10">J6</f>
        <v>0</v>
      </c>
      <c r="K25" s="259">
        <f t="shared" si="10"/>
        <v>0</v>
      </c>
    </row>
    <row r="26" spans="1:11">
      <c r="A26" s="1239"/>
      <c r="B26" s="256" t="s">
        <v>240</v>
      </c>
      <c r="C26" s="255">
        <f t="shared" si="8"/>
        <v>0</v>
      </c>
      <c r="D26" s="255">
        <f t="shared" si="8"/>
        <v>0</v>
      </c>
      <c r="E26" s="300">
        <f t="shared" si="8"/>
        <v>0</v>
      </c>
      <c r="F26" s="455">
        <f t="shared" ref="F26:H26" si="11">F7</f>
        <v>0</v>
      </c>
      <c r="G26" s="258">
        <f t="shared" si="11"/>
        <v>0</v>
      </c>
      <c r="H26" s="258">
        <f t="shared" si="11"/>
        <v>0</v>
      </c>
      <c r="I26" s="455">
        <f>I7</f>
        <v>0</v>
      </c>
      <c r="J26" s="258">
        <f t="shared" ref="J26:K26" si="12">J7</f>
        <v>0</v>
      </c>
      <c r="K26" s="258">
        <f t="shared" si="12"/>
        <v>0</v>
      </c>
    </row>
    <row r="27" spans="1:11" ht="17" thickBot="1">
      <c r="A27" s="1239"/>
      <c r="B27" s="445" t="s">
        <v>414</v>
      </c>
      <c r="C27" s="446">
        <f>SUM(C24:C26)</f>
        <v>0</v>
      </c>
      <c r="D27" s="446">
        <f t="shared" ref="D27:E27" si="13">SUM(D24:D26)</f>
        <v>0</v>
      </c>
      <c r="E27" s="451">
        <f t="shared" si="13"/>
        <v>0</v>
      </c>
      <c r="F27" s="457">
        <f t="shared" ref="F27" si="14">SUM(F24:F26)</f>
        <v>0</v>
      </c>
      <c r="G27" s="458">
        <f t="shared" ref="G27" si="15">SUM(G24:G26)</f>
        <v>0</v>
      </c>
      <c r="H27" s="458">
        <f>F27-G27</f>
        <v>0</v>
      </c>
      <c r="I27" s="1223"/>
      <c r="J27" s="1224"/>
      <c r="K27" s="1225"/>
    </row>
    <row r="28" spans="1:11">
      <c r="A28" s="1239"/>
      <c r="B28" s="1227" t="s">
        <v>376</v>
      </c>
      <c r="C28" s="1227"/>
      <c r="D28" s="1227"/>
      <c r="E28" s="258">
        <f>IF(C27&gt;E27,E27-C27,0)</f>
        <v>0</v>
      </c>
      <c r="F28" s="1233"/>
      <c r="G28" s="1072"/>
      <c r="H28" s="1072"/>
    </row>
    <row r="29" spans="1:11" ht="17" thickBot="1">
      <c r="A29" s="1240"/>
      <c r="B29" s="1242" t="s">
        <v>415</v>
      </c>
      <c r="C29" s="1242"/>
      <c r="D29" s="1242"/>
      <c r="E29" s="404">
        <f>IF(E27&gt;C27,E27-C27,0)</f>
        <v>0</v>
      </c>
      <c r="F29" s="1234"/>
      <c r="G29" s="682"/>
      <c r="H29" s="682"/>
    </row>
    <row r="30" spans="1:11" ht="17" thickBot="1"/>
    <row r="31" spans="1:11" ht="21">
      <c r="A31" s="1237" t="s">
        <v>417</v>
      </c>
      <c r="B31" s="1241" t="s">
        <v>420</v>
      </c>
      <c r="C31" s="1221"/>
      <c r="D31" s="1221"/>
      <c r="E31" s="1222"/>
      <c r="F31" s="1220" t="s">
        <v>422</v>
      </c>
      <c r="G31" s="1221"/>
      <c r="H31" s="1222"/>
      <c r="I31" s="1220" t="str">
        <f>I22</f>
        <v xml:space="preserve">Særlige feriedage  </v>
      </c>
      <c r="J31" s="1221"/>
      <c r="K31" s="1222"/>
    </row>
    <row r="32" spans="1:11" ht="52">
      <c r="A32" s="1238"/>
      <c r="B32" s="449"/>
      <c r="C32" s="450" t="str">
        <f>C23</f>
        <v>Nettoarbejdstid</v>
      </c>
      <c r="D32" s="450" t="str">
        <f t="shared" ref="D32:H32" si="16">D23</f>
        <v>Planlagt arbejdstid</v>
      </c>
      <c r="E32" s="450" t="str">
        <f t="shared" si="16"/>
        <v>Faktisk arbejdstid(uden afspadsering)</v>
      </c>
      <c r="F32" s="450" t="str">
        <f t="shared" si="16"/>
        <v>Afspadseringstimer optjent</v>
      </c>
      <c r="G32" s="450" t="str">
        <f t="shared" si="16"/>
        <v>Afspadseringstimer afholdt</v>
      </c>
      <c r="H32" s="450" t="str">
        <f t="shared" si="16"/>
        <v>Afspadseringstimer saldo</v>
      </c>
      <c r="I32" s="450" t="str">
        <f t="shared" ref="I32:K32" si="17">I23</f>
        <v>Særlige feriedage primo</v>
      </c>
      <c r="J32" s="450" t="str">
        <f t="shared" si="17"/>
        <v>Særlige feriedage afholdt</v>
      </c>
      <c r="K32" s="450" t="str">
        <f t="shared" si="17"/>
        <v>Særlige feriedage rest</v>
      </c>
    </row>
    <row r="33" spans="1:11" ht="20" customHeight="1">
      <c r="A33" s="1239"/>
      <c r="B33" s="256" t="s">
        <v>241</v>
      </c>
      <c r="C33" s="255">
        <f>C8</f>
        <v>0</v>
      </c>
      <c r="D33" s="255">
        <f t="shared" ref="D33:E33" si="18">D8</f>
        <v>0</v>
      </c>
      <c r="E33" s="255">
        <f t="shared" si="18"/>
        <v>0</v>
      </c>
      <c r="F33" s="255">
        <f>F8</f>
        <v>0</v>
      </c>
      <c r="G33" s="255">
        <f t="shared" ref="G33:H33" si="19">G8</f>
        <v>0</v>
      </c>
      <c r="H33" s="255">
        <f t="shared" si="19"/>
        <v>0</v>
      </c>
      <c r="I33" s="255">
        <f>I8</f>
        <v>0</v>
      </c>
      <c r="J33" s="255">
        <f t="shared" ref="J33:K33" si="20">J8</f>
        <v>0</v>
      </c>
      <c r="K33" s="255">
        <f t="shared" si="20"/>
        <v>0</v>
      </c>
    </row>
    <row r="34" spans="1:11">
      <c r="A34" s="1239"/>
      <c r="B34" s="2" t="s">
        <v>285</v>
      </c>
      <c r="C34" s="257">
        <f t="shared" ref="C34:E35" si="21">C9</f>
        <v>0</v>
      </c>
      <c r="D34" s="257">
        <f t="shared" si="21"/>
        <v>0</v>
      </c>
      <c r="E34" s="257">
        <f t="shared" si="21"/>
        <v>0</v>
      </c>
      <c r="F34" s="257">
        <f t="shared" ref="F34:H34" si="22">F9</f>
        <v>0</v>
      </c>
      <c r="G34" s="257">
        <f t="shared" si="22"/>
        <v>0</v>
      </c>
      <c r="H34" s="257">
        <f t="shared" si="22"/>
        <v>0</v>
      </c>
      <c r="I34" s="257">
        <f t="shared" ref="I34:K34" si="23">I9</f>
        <v>0</v>
      </c>
      <c r="J34" s="257">
        <f t="shared" si="23"/>
        <v>0</v>
      </c>
      <c r="K34" s="257">
        <f t="shared" si="23"/>
        <v>0</v>
      </c>
    </row>
    <row r="35" spans="1:11">
      <c r="A35" s="1239"/>
      <c r="B35" s="256" t="s">
        <v>286</v>
      </c>
      <c r="C35" s="255">
        <f t="shared" si="21"/>
        <v>0</v>
      </c>
      <c r="D35" s="255">
        <f t="shared" si="21"/>
        <v>0</v>
      </c>
      <c r="E35" s="255">
        <f t="shared" si="21"/>
        <v>0</v>
      </c>
      <c r="F35" s="255">
        <f t="shared" ref="F35:H35" si="24">F10</f>
        <v>0</v>
      </c>
      <c r="G35" s="255">
        <f t="shared" si="24"/>
        <v>0</v>
      </c>
      <c r="H35" s="255">
        <f t="shared" si="24"/>
        <v>0</v>
      </c>
      <c r="I35" s="255">
        <f t="shared" ref="I35:K35" si="25">I10</f>
        <v>0</v>
      </c>
      <c r="J35" s="255">
        <f t="shared" si="25"/>
        <v>0</v>
      </c>
      <c r="K35" s="255">
        <f t="shared" si="25"/>
        <v>0</v>
      </c>
    </row>
    <row r="36" spans="1:11">
      <c r="A36" s="1239"/>
      <c r="B36" s="445" t="s">
        <v>414</v>
      </c>
      <c r="C36" s="446">
        <f>SUM(C33:C35)</f>
        <v>0</v>
      </c>
      <c r="D36" s="446">
        <f t="shared" ref="D36" si="26">SUM(D33:D35)</f>
        <v>0</v>
      </c>
      <c r="E36" s="447">
        <f t="shared" ref="E36" si="27">SUM(E33:E35)</f>
        <v>0</v>
      </c>
      <c r="F36" s="447">
        <f t="shared" ref="F36" si="28">SUM(F33:F35)</f>
        <v>0</v>
      </c>
      <c r="G36" s="447">
        <f t="shared" ref="G36" si="29">SUM(G33:G35)</f>
        <v>0</v>
      </c>
      <c r="H36" s="447">
        <f>H35</f>
        <v>0</v>
      </c>
      <c r="I36" s="1200"/>
      <c r="J36" s="1201"/>
      <c r="K36" s="1202"/>
    </row>
    <row r="37" spans="1:11">
      <c r="A37" s="1239"/>
      <c r="B37" s="1227" t="s">
        <v>376</v>
      </c>
      <c r="C37" s="1227"/>
      <c r="D37" s="1227"/>
      <c r="E37" s="258">
        <f>IF(C36&gt;E36,E36-C36,0)</f>
        <v>0</v>
      </c>
      <c r="F37" s="1235"/>
      <c r="G37" s="1236"/>
      <c r="H37" s="1236"/>
    </row>
    <row r="38" spans="1:11" ht="17" thickBot="1">
      <c r="A38" s="1240"/>
      <c r="B38" s="1242" t="s">
        <v>415</v>
      </c>
      <c r="C38" s="1242"/>
      <c r="D38" s="1242"/>
      <c r="E38" s="404">
        <f>IF(E36&gt;C36,E36-C36,0)</f>
        <v>0</v>
      </c>
      <c r="F38" s="1234"/>
      <c r="G38" s="682"/>
      <c r="H38" s="682"/>
    </row>
    <row r="39" spans="1:11" ht="17" thickBot="1"/>
    <row r="40" spans="1:11" ht="21">
      <c r="A40" s="1237" t="s">
        <v>419</v>
      </c>
      <c r="B40" s="1241" t="s">
        <v>454</v>
      </c>
      <c r="C40" s="1221"/>
      <c r="D40" s="1221"/>
      <c r="E40" s="1222"/>
      <c r="F40" s="1220" t="s">
        <v>422</v>
      </c>
      <c r="G40" s="1221"/>
      <c r="H40" s="1222"/>
      <c r="I40" s="1220" t="str">
        <f>I31</f>
        <v xml:space="preserve">Særlige feriedage  </v>
      </c>
      <c r="J40" s="1221"/>
      <c r="K40" s="1222"/>
    </row>
    <row r="41" spans="1:11" ht="52">
      <c r="A41" s="1238"/>
      <c r="B41" s="449"/>
      <c r="C41" s="450" t="str">
        <f>C32</f>
        <v>Nettoarbejdstid</v>
      </c>
      <c r="D41" s="450" t="str">
        <f t="shared" ref="D41:H41" si="30">D32</f>
        <v>Planlagt arbejdstid</v>
      </c>
      <c r="E41" s="450" t="str">
        <f t="shared" si="30"/>
        <v>Faktisk arbejdstid(uden afspadsering)</v>
      </c>
      <c r="F41" s="450" t="str">
        <f t="shared" si="30"/>
        <v>Afspadseringstimer optjent</v>
      </c>
      <c r="G41" s="450" t="str">
        <f t="shared" si="30"/>
        <v>Afspadseringstimer afholdt</v>
      </c>
      <c r="H41" s="450" t="str">
        <f t="shared" si="30"/>
        <v>Afspadseringstimer saldo</v>
      </c>
      <c r="I41" s="450" t="str">
        <f t="shared" ref="I41:K41" si="31">I32</f>
        <v>Særlige feriedage primo</v>
      </c>
      <c r="J41" s="450" t="str">
        <f t="shared" si="31"/>
        <v>Særlige feriedage afholdt</v>
      </c>
      <c r="K41" s="450" t="str">
        <f t="shared" si="31"/>
        <v>Særlige feriedage rest</v>
      </c>
    </row>
    <row r="42" spans="1:11" ht="23" customHeight="1">
      <c r="A42" s="1239"/>
      <c r="B42" s="256" t="s">
        <v>287</v>
      </c>
      <c r="C42" s="255">
        <f>C11</f>
        <v>0</v>
      </c>
      <c r="D42" s="255">
        <f t="shared" ref="D42:E42" si="32">D11</f>
        <v>0</v>
      </c>
      <c r="E42" s="255">
        <f t="shared" si="32"/>
        <v>0</v>
      </c>
      <c r="F42" s="255">
        <f t="shared" ref="F42:H42" si="33">F11</f>
        <v>0</v>
      </c>
      <c r="G42" s="255">
        <f t="shared" si="33"/>
        <v>0</v>
      </c>
      <c r="H42" s="255">
        <f t="shared" si="33"/>
        <v>0</v>
      </c>
      <c r="I42" s="255">
        <f t="shared" ref="I42:K42" si="34">I11</f>
        <v>0</v>
      </c>
      <c r="J42" s="255">
        <f t="shared" si="34"/>
        <v>0</v>
      </c>
      <c r="K42" s="255">
        <f t="shared" si="34"/>
        <v>0</v>
      </c>
    </row>
    <row r="43" spans="1:11">
      <c r="A43" s="1239"/>
      <c r="B43" s="2" t="s">
        <v>288</v>
      </c>
      <c r="C43" s="257">
        <f t="shared" ref="C43:E44" si="35">C12</f>
        <v>0</v>
      </c>
      <c r="D43" s="257">
        <f t="shared" si="35"/>
        <v>0</v>
      </c>
      <c r="E43" s="257">
        <f t="shared" si="35"/>
        <v>0</v>
      </c>
      <c r="F43" s="257">
        <f t="shared" ref="F43:H43" si="36">F12</f>
        <v>0</v>
      </c>
      <c r="G43" s="257">
        <f t="shared" si="36"/>
        <v>0</v>
      </c>
      <c r="H43" s="257">
        <f t="shared" si="36"/>
        <v>0</v>
      </c>
      <c r="I43" s="257">
        <f t="shared" ref="I43:K43" si="37">I12</f>
        <v>0</v>
      </c>
      <c r="J43" s="257">
        <f t="shared" si="37"/>
        <v>0</v>
      </c>
      <c r="K43" s="257">
        <f t="shared" si="37"/>
        <v>0</v>
      </c>
    </row>
    <row r="44" spans="1:11">
      <c r="A44" s="1239"/>
      <c r="B44" s="256" t="s">
        <v>289</v>
      </c>
      <c r="C44" s="255">
        <f t="shared" si="35"/>
        <v>0</v>
      </c>
      <c r="D44" s="255">
        <f t="shared" si="35"/>
        <v>0</v>
      </c>
      <c r="E44" s="255">
        <f t="shared" si="35"/>
        <v>0</v>
      </c>
      <c r="F44" s="255">
        <f t="shared" ref="F44:H44" si="38">F13</f>
        <v>0</v>
      </c>
      <c r="G44" s="255">
        <f t="shared" si="38"/>
        <v>0</v>
      </c>
      <c r="H44" s="255">
        <f t="shared" si="38"/>
        <v>0</v>
      </c>
      <c r="I44" s="255">
        <f t="shared" ref="I44:K44" si="39">I13</f>
        <v>0</v>
      </c>
      <c r="J44" s="255">
        <f t="shared" si="39"/>
        <v>0</v>
      </c>
      <c r="K44" s="255">
        <f t="shared" si="39"/>
        <v>0</v>
      </c>
    </row>
    <row r="45" spans="1:11">
      <c r="A45" s="1239"/>
      <c r="B45" s="445" t="s">
        <v>414</v>
      </c>
      <c r="C45" s="446">
        <f>SUM(C42:C44)</f>
        <v>0</v>
      </c>
      <c r="D45" s="446">
        <f t="shared" ref="D45" si="40">SUM(D42:D44)</f>
        <v>0</v>
      </c>
      <c r="E45" s="447">
        <f t="shared" ref="E45" si="41">SUM(E42:E44)</f>
        <v>0</v>
      </c>
      <c r="F45" s="447">
        <f t="shared" ref="F45" si="42">SUM(F42:F44)</f>
        <v>0</v>
      </c>
      <c r="G45" s="447">
        <f t="shared" ref="G45" si="43">SUM(G42:G44)</f>
        <v>0</v>
      </c>
      <c r="H45" s="447">
        <f>H44</f>
        <v>0</v>
      </c>
      <c r="I45" s="1200"/>
      <c r="J45" s="1201"/>
      <c r="K45" s="1202"/>
    </row>
    <row r="46" spans="1:11">
      <c r="A46" s="1239"/>
      <c r="B46" s="1227" t="s">
        <v>376</v>
      </c>
      <c r="C46" s="1227"/>
      <c r="D46" s="1227"/>
      <c r="E46" s="258">
        <f>IF(C45&gt;E45,E45-C45,0)</f>
        <v>0</v>
      </c>
      <c r="F46" s="1235"/>
      <c r="G46" s="1236"/>
      <c r="H46" s="1236"/>
      <c r="I46" s="1218" t="s">
        <v>568</v>
      </c>
      <c r="J46" s="1218"/>
      <c r="K46" s="1218"/>
    </row>
    <row r="47" spans="1:11" ht="17" thickBot="1">
      <c r="A47" s="1240"/>
      <c r="B47" s="1242" t="s">
        <v>415</v>
      </c>
      <c r="C47" s="1242"/>
      <c r="D47" s="1242"/>
      <c r="E47" s="404">
        <f>IF(E45&gt;C45,E45-C45,0)</f>
        <v>0</v>
      </c>
      <c r="F47" s="1234"/>
      <c r="G47" s="682"/>
      <c r="H47" s="682"/>
      <c r="I47" s="1219"/>
      <c r="J47" s="1219"/>
      <c r="K47" s="1219"/>
    </row>
    <row r="48" spans="1:11" ht="17" thickBot="1"/>
    <row r="49" spans="1:11" ht="21">
      <c r="A49" s="1237" t="s">
        <v>418</v>
      </c>
      <c r="B49" s="1241" t="s">
        <v>455</v>
      </c>
      <c r="C49" s="1221"/>
      <c r="D49" s="1221"/>
      <c r="E49" s="1222"/>
      <c r="F49" s="1220" t="s">
        <v>422</v>
      </c>
      <c r="G49" s="1221"/>
      <c r="H49" s="1222"/>
      <c r="I49" s="1220" t="str">
        <f>I40</f>
        <v xml:space="preserve">Særlige feriedage  </v>
      </c>
      <c r="J49" s="1221"/>
      <c r="K49" s="1222"/>
    </row>
    <row r="50" spans="1:11" ht="52">
      <c r="A50" s="1238"/>
      <c r="B50" s="449"/>
      <c r="C50" s="450" t="str">
        <f>C41</f>
        <v>Nettoarbejdstid</v>
      </c>
      <c r="D50" s="450" t="str">
        <f t="shared" ref="D50:H50" si="44">D41</f>
        <v>Planlagt arbejdstid</v>
      </c>
      <c r="E50" s="450" t="str">
        <f t="shared" si="44"/>
        <v>Faktisk arbejdstid(uden afspadsering)</v>
      </c>
      <c r="F50" s="450" t="str">
        <f t="shared" si="44"/>
        <v>Afspadseringstimer optjent</v>
      </c>
      <c r="G50" s="450" t="str">
        <f t="shared" si="44"/>
        <v>Afspadseringstimer afholdt</v>
      </c>
      <c r="H50" s="450" t="str">
        <f t="shared" si="44"/>
        <v>Afspadseringstimer saldo</v>
      </c>
      <c r="I50" s="450" t="str">
        <f t="shared" ref="I50:K50" si="45">I41</f>
        <v>Særlige feriedage primo</v>
      </c>
      <c r="J50" s="450" t="str">
        <f t="shared" si="45"/>
        <v>Særlige feriedage afholdt</v>
      </c>
      <c r="K50" s="450" t="str">
        <f t="shared" si="45"/>
        <v>Særlige feriedage rest</v>
      </c>
    </row>
    <row r="51" spans="1:11">
      <c r="A51" s="1239"/>
      <c r="B51" s="256" t="s">
        <v>290</v>
      </c>
      <c r="C51" s="255">
        <f>C14</f>
        <v>0</v>
      </c>
      <c r="D51" s="255">
        <f t="shared" ref="D51:E51" si="46">D14</f>
        <v>0</v>
      </c>
      <c r="E51" s="255">
        <f t="shared" si="46"/>
        <v>0</v>
      </c>
      <c r="F51" s="255">
        <f t="shared" ref="F51:H51" si="47">F14</f>
        <v>0</v>
      </c>
      <c r="G51" s="255">
        <f t="shared" si="47"/>
        <v>0</v>
      </c>
      <c r="H51" s="255">
        <f t="shared" si="47"/>
        <v>0</v>
      </c>
      <c r="I51" s="255">
        <f>I14</f>
        <v>0</v>
      </c>
      <c r="J51" s="255">
        <f t="shared" ref="J51:K51" si="48">J14</f>
        <v>0</v>
      </c>
      <c r="K51" s="255">
        <f t="shared" si="48"/>
        <v>0</v>
      </c>
    </row>
    <row r="52" spans="1:11">
      <c r="A52" s="1239"/>
      <c r="B52" s="2" t="s">
        <v>291</v>
      </c>
      <c r="C52" s="257">
        <f t="shared" ref="C52:E53" si="49">C15</f>
        <v>0</v>
      </c>
      <c r="D52" s="257">
        <f t="shared" si="49"/>
        <v>0</v>
      </c>
      <c r="E52" s="257">
        <f t="shared" si="49"/>
        <v>0</v>
      </c>
      <c r="F52" s="257">
        <f t="shared" ref="F52:H52" si="50">F15</f>
        <v>0</v>
      </c>
      <c r="G52" s="257">
        <f t="shared" si="50"/>
        <v>0</v>
      </c>
      <c r="H52" s="257">
        <f t="shared" si="50"/>
        <v>0</v>
      </c>
      <c r="I52" s="257">
        <f t="shared" ref="I52:K52" si="51">I15</f>
        <v>0</v>
      </c>
      <c r="J52" s="257">
        <f t="shared" si="51"/>
        <v>0</v>
      </c>
      <c r="K52" s="257">
        <f t="shared" si="51"/>
        <v>0</v>
      </c>
    </row>
    <row r="53" spans="1:11">
      <c r="A53" s="1239"/>
      <c r="B53" s="256" t="s">
        <v>292</v>
      </c>
      <c r="C53" s="255">
        <f t="shared" si="49"/>
        <v>0</v>
      </c>
      <c r="D53" s="255">
        <f t="shared" si="49"/>
        <v>0</v>
      </c>
      <c r="E53" s="255">
        <f t="shared" si="49"/>
        <v>0</v>
      </c>
      <c r="F53" s="255">
        <f t="shared" ref="F53:H53" si="52">F16</f>
        <v>0</v>
      </c>
      <c r="G53" s="255">
        <f t="shared" si="52"/>
        <v>0</v>
      </c>
      <c r="H53" s="255">
        <f t="shared" si="52"/>
        <v>0</v>
      </c>
      <c r="I53" s="255">
        <f t="shared" ref="I53:K53" si="53">I16</f>
        <v>0</v>
      </c>
      <c r="J53" s="255">
        <f t="shared" si="53"/>
        <v>0</v>
      </c>
      <c r="K53" s="255">
        <f t="shared" si="53"/>
        <v>0</v>
      </c>
    </row>
    <row r="54" spans="1:11">
      <c r="A54" s="1239"/>
      <c r="B54" s="445" t="s">
        <v>414</v>
      </c>
      <c r="C54" s="446">
        <f>SUM(C51:C53)</f>
        <v>0</v>
      </c>
      <c r="D54" s="446">
        <f t="shared" ref="D54" si="54">SUM(D51:D53)</f>
        <v>0</v>
      </c>
      <c r="E54" s="447">
        <f t="shared" ref="E54" si="55">SUM(E51:E53)</f>
        <v>0</v>
      </c>
      <c r="F54" s="447">
        <f t="shared" ref="F54" si="56">SUM(F51:F53)</f>
        <v>0</v>
      </c>
      <c r="G54" s="447">
        <f t="shared" ref="G54" si="57">SUM(G51:G53)</f>
        <v>0</v>
      </c>
      <c r="H54" s="447">
        <f>H53</f>
        <v>0</v>
      </c>
      <c r="I54" s="1200"/>
      <c r="J54" s="1201"/>
      <c r="K54" s="1202"/>
    </row>
    <row r="55" spans="1:11">
      <c r="A55" s="1239"/>
      <c r="B55" s="1227" t="s">
        <v>376</v>
      </c>
      <c r="C55" s="1227"/>
      <c r="D55" s="1227"/>
      <c r="E55" s="258">
        <f>IF(C54&gt;E54,E54-C54,0)</f>
        <v>0</v>
      </c>
      <c r="F55" s="1235"/>
      <c r="G55" s="1236"/>
      <c r="H55" s="1236"/>
    </row>
    <row r="56" spans="1:11" ht="17" thickBot="1">
      <c r="A56" s="1240"/>
      <c r="B56" s="1242" t="s">
        <v>415</v>
      </c>
      <c r="C56" s="1242"/>
      <c r="D56" s="1242"/>
      <c r="E56" s="404">
        <f>IF(E54&gt;C54,E54-C54,0)</f>
        <v>0</v>
      </c>
      <c r="F56" s="1234"/>
      <c r="G56" s="682"/>
      <c r="H56" s="682"/>
    </row>
    <row r="58" spans="1:11" ht="21">
      <c r="A58" s="1232" t="s">
        <v>429</v>
      </c>
      <c r="B58" s="1232"/>
      <c r="C58" s="1232"/>
      <c r="D58" s="1232"/>
      <c r="E58" s="481">
        <f>E28+E29+E37+E38+E46+E47+E55+E56</f>
        <v>0</v>
      </c>
    </row>
    <row r="59" spans="1:11" ht="21">
      <c r="A59" s="1231" t="s">
        <v>430</v>
      </c>
      <c r="B59" s="1231"/>
      <c r="C59" s="1231"/>
      <c r="D59" s="1231"/>
      <c r="E59" s="448">
        <f>H17</f>
        <v>0</v>
      </c>
    </row>
  </sheetData>
  <sheetProtection sheet="1" objects="1" scenarios="1"/>
  <mergeCells count="47">
    <mergeCell ref="A1:A20"/>
    <mergeCell ref="B28:D28"/>
    <mergeCell ref="B18:D18"/>
    <mergeCell ref="F18:H18"/>
    <mergeCell ref="C3:E3"/>
    <mergeCell ref="F3:H3"/>
    <mergeCell ref="B55:D55"/>
    <mergeCell ref="B56:D56"/>
    <mergeCell ref="B29:D29"/>
    <mergeCell ref="A22:A29"/>
    <mergeCell ref="B22:E22"/>
    <mergeCell ref="A31:A38"/>
    <mergeCell ref="B31:E31"/>
    <mergeCell ref="B37:D37"/>
    <mergeCell ref="B38:D38"/>
    <mergeCell ref="A59:D59"/>
    <mergeCell ref="A58:D58"/>
    <mergeCell ref="F22:H22"/>
    <mergeCell ref="F31:H31"/>
    <mergeCell ref="F40:H40"/>
    <mergeCell ref="F49:H49"/>
    <mergeCell ref="F28:H29"/>
    <mergeCell ref="F37:H38"/>
    <mergeCell ref="F46:H47"/>
    <mergeCell ref="F55:H56"/>
    <mergeCell ref="A40:A47"/>
    <mergeCell ref="B40:E40"/>
    <mergeCell ref="B46:D46"/>
    <mergeCell ref="B47:D47"/>
    <mergeCell ref="A49:A56"/>
    <mergeCell ref="B49:E49"/>
    <mergeCell ref="I54:K54"/>
    <mergeCell ref="B1:K1"/>
    <mergeCell ref="B2:K2"/>
    <mergeCell ref="I17:K20"/>
    <mergeCell ref="I46:K47"/>
    <mergeCell ref="I3:K3"/>
    <mergeCell ref="I22:K22"/>
    <mergeCell ref="I31:K31"/>
    <mergeCell ref="I40:K40"/>
    <mergeCell ref="I49:K49"/>
    <mergeCell ref="I27:K27"/>
    <mergeCell ref="I36:K36"/>
    <mergeCell ref="I45:K45"/>
    <mergeCell ref="B19:D19"/>
    <mergeCell ref="F19:H19"/>
    <mergeCell ref="B20:G20"/>
  </mergeCells>
  <phoneticPr fontId="5" type="noConversion"/>
  <conditionalFormatting sqref="B18 E18:F18">
    <cfRule type="expression" dxfId="379" priority="12">
      <formula>"ELLER($E$16&gt;$$16;)"</formula>
    </cfRule>
    <cfRule type="expression" dxfId="378" priority="11">
      <formula>OR($E$17&gt;$C$17,)</formula>
    </cfRule>
  </conditionalFormatting>
  <conditionalFormatting sqref="B19 E19:F19">
    <cfRule type="expression" dxfId="377" priority="10">
      <formula>OR($C$17&gt;$E$17,)</formula>
    </cfRule>
  </conditionalFormatting>
  <conditionalFormatting sqref="B20 H20">
    <cfRule type="expression" dxfId="376" priority="9">
      <formula>OR($H$17&lt;0,)</formula>
    </cfRule>
  </conditionalFormatting>
  <conditionalFormatting sqref="B28 E28">
    <cfRule type="expression" dxfId="375" priority="8">
      <formula>OR($C$27&lt;$E$27,)</formula>
    </cfRule>
  </conditionalFormatting>
  <conditionalFormatting sqref="B29 E29">
    <cfRule type="expression" dxfId="374" priority="7">
      <formula>OR($E$27&lt;$C$27,)</formula>
    </cfRule>
  </conditionalFormatting>
  <conditionalFormatting sqref="B37 E37">
    <cfRule type="expression" dxfId="373" priority="6">
      <formula>OR($E$36&gt;$C$36,)</formula>
    </cfRule>
  </conditionalFormatting>
  <conditionalFormatting sqref="B38 E38">
    <cfRule type="expression" dxfId="372" priority="5">
      <formula>OR($C$36&gt;$E$36,)</formula>
    </cfRule>
  </conditionalFormatting>
  <conditionalFormatting sqref="B46 E46">
    <cfRule type="expression" dxfId="371" priority="4">
      <formula>OR($E$45&gt;$C$45,)</formula>
    </cfRule>
  </conditionalFormatting>
  <conditionalFormatting sqref="B47 E47">
    <cfRule type="expression" dxfId="370" priority="3">
      <formula>OR($C$45&gt;$E$45,)</formula>
    </cfRule>
  </conditionalFormatting>
  <conditionalFormatting sqref="B55 E55">
    <cfRule type="expression" dxfId="369" priority="2">
      <formula>OR($E$54&gt;$C$54,)</formula>
    </cfRule>
  </conditionalFormatting>
  <conditionalFormatting sqref="B56 E56">
    <cfRule type="expression" dxfId="368" priority="1">
      <formula>OR($C$54&gt;$E$54,)</formula>
    </cfRule>
  </conditionalFormatting>
  <pageMargins left="0.25" right="0.25" top="0.75" bottom="0.75" header="0.3" footer="0.3"/>
  <pageSetup paperSize="9" scale="57"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3EA83-498D-4C42-B081-21F51B845765}">
  <sheetPr>
    <tabColor theme="6" tint="0.39997558519241921"/>
    <pageSetUpPr fitToPage="1"/>
  </sheetPr>
  <dimension ref="A1:AO37"/>
  <sheetViews>
    <sheetView showZeros="0" zoomScaleNormal="100" workbookViewId="0">
      <selection activeCell="J36" sqref="J36"/>
    </sheetView>
  </sheetViews>
  <sheetFormatPr baseColWidth="10" defaultRowHeight="16"/>
  <sheetData>
    <row r="1" spans="1:41" ht="39" customHeight="1">
      <c r="A1" s="1252"/>
      <c r="B1" s="1271" t="s">
        <v>294</v>
      </c>
      <c r="C1" s="1272"/>
      <c r="D1" s="1272"/>
      <c r="E1" s="1272"/>
      <c r="F1" s="1272"/>
      <c r="G1" s="1272"/>
      <c r="H1" s="1272"/>
      <c r="I1" s="1272"/>
      <c r="J1" s="1273"/>
      <c r="AO1" s="1" t="e">
        <f>SUM(#REF!)</f>
        <v>#REF!</v>
      </c>
    </row>
    <row r="2" spans="1:41">
      <c r="A2" s="1252"/>
      <c r="B2" s="1274" t="s">
        <v>223</v>
      </c>
      <c r="C2" s="735"/>
      <c r="D2" s="735"/>
      <c r="E2" s="735"/>
      <c r="F2" s="735"/>
      <c r="G2" s="735"/>
      <c r="H2" s="735"/>
      <c r="I2" s="735"/>
      <c r="J2" s="283">
        <f>Skemaoplysninger!AN37</f>
        <v>0</v>
      </c>
    </row>
    <row r="3" spans="1:41">
      <c r="A3" s="1252"/>
      <c r="B3" s="1255" t="s">
        <v>352</v>
      </c>
      <c r="C3" s="1256"/>
      <c r="D3" s="1256"/>
      <c r="E3" s="1256"/>
      <c r="F3" s="1256"/>
      <c r="G3" s="1256"/>
      <c r="H3" s="1256"/>
      <c r="I3" s="1256"/>
      <c r="J3" s="259">
        <f>SUM(August!BC41:BF41)+SUM(September!BC39:BF39)+SUM(Oktober!BC40:BF40)+SUM(November!BC39:BF39)+SUM(December!BC40:BF40)+SUM(Januar!BC40:BF40)+SUM(Februar!BC38:BF38)+SUM(Marts!BC40:BF40)+SUM(April!BC39:BF39)+SUM(Maj!BC40:BF40)+SUM(Juni!BC39:BF39)+SUM(Juli!BC40:BF40)</f>
        <v>0</v>
      </c>
    </row>
    <row r="4" spans="1:41" ht="34" customHeight="1">
      <c r="A4" s="1252"/>
      <c r="B4" s="1275" t="s">
        <v>306</v>
      </c>
      <c r="C4" s="1276"/>
      <c r="D4" s="1276"/>
      <c r="E4" s="1276"/>
      <c r="F4" s="1276"/>
      <c r="G4" s="1276"/>
      <c r="H4" s="1276"/>
      <c r="I4" s="1276"/>
      <c r="J4" s="1277"/>
    </row>
    <row r="5" spans="1:41">
      <c r="A5" s="1252"/>
      <c r="B5" s="1261"/>
      <c r="C5" s="1262"/>
      <c r="D5" s="1262"/>
      <c r="E5" s="1262"/>
      <c r="F5" s="1262"/>
      <c r="G5" s="1262"/>
      <c r="H5" s="1262"/>
      <c r="I5" s="1262"/>
      <c r="J5" s="19"/>
    </row>
    <row r="6" spans="1:41">
      <c r="A6" s="1252"/>
      <c r="B6" s="1261"/>
      <c r="C6" s="1262"/>
      <c r="D6" s="1262"/>
      <c r="E6" s="1262"/>
      <c r="F6" s="1262"/>
      <c r="G6" s="1262"/>
      <c r="H6" s="1262"/>
      <c r="I6" s="1262"/>
      <c r="J6" s="19"/>
    </row>
    <row r="7" spans="1:41">
      <c r="A7" s="1252"/>
      <c r="B7" s="1261"/>
      <c r="C7" s="1262"/>
      <c r="D7" s="1262"/>
      <c r="E7" s="1262"/>
      <c r="F7" s="1262"/>
      <c r="G7" s="1262"/>
      <c r="H7" s="1262"/>
      <c r="I7" s="1262"/>
      <c r="J7" s="19"/>
    </row>
    <row r="8" spans="1:41">
      <c r="A8" s="1252"/>
      <c r="B8" s="1261"/>
      <c r="C8" s="1262"/>
      <c r="D8" s="1262"/>
      <c r="E8" s="1262"/>
      <c r="F8" s="1262"/>
      <c r="G8" s="1262"/>
      <c r="H8" s="1262"/>
      <c r="I8" s="1262"/>
      <c r="J8" s="19"/>
    </row>
    <row r="9" spans="1:41">
      <c r="A9" s="1252"/>
      <c r="B9" s="1261"/>
      <c r="C9" s="1262"/>
      <c r="D9" s="1262"/>
      <c r="E9" s="1262"/>
      <c r="F9" s="1262"/>
      <c r="G9" s="1262"/>
      <c r="H9" s="1262"/>
      <c r="I9" s="1262"/>
      <c r="J9" s="19"/>
    </row>
    <row r="10" spans="1:41">
      <c r="A10" s="1252"/>
      <c r="B10" s="1261"/>
      <c r="C10" s="1262"/>
      <c r="D10" s="1262"/>
      <c r="E10" s="1262"/>
      <c r="F10" s="1262"/>
      <c r="G10" s="1262"/>
      <c r="H10" s="1262"/>
      <c r="I10" s="1262"/>
      <c r="J10" s="19"/>
    </row>
    <row r="11" spans="1:41">
      <c r="A11" s="1252"/>
      <c r="B11" s="1261"/>
      <c r="C11" s="1262"/>
      <c r="D11" s="1262"/>
      <c r="E11" s="1262"/>
      <c r="F11" s="1262"/>
      <c r="G11" s="1262"/>
      <c r="H11" s="1262"/>
      <c r="I11" s="1262"/>
      <c r="J11" s="19"/>
    </row>
    <row r="12" spans="1:41">
      <c r="A12" s="1252"/>
      <c r="B12" s="1261"/>
      <c r="C12" s="1262"/>
      <c r="D12" s="1262"/>
      <c r="E12" s="1262"/>
      <c r="F12" s="1262"/>
      <c r="G12" s="1262"/>
      <c r="H12" s="1262"/>
      <c r="I12" s="1262"/>
      <c r="J12" s="19"/>
    </row>
    <row r="13" spans="1:41">
      <c r="A13" s="1252"/>
      <c r="B13" s="1261"/>
      <c r="C13" s="1262"/>
      <c r="D13" s="1262"/>
      <c r="E13" s="1262"/>
      <c r="F13" s="1262"/>
      <c r="G13" s="1262"/>
      <c r="H13" s="1262"/>
      <c r="I13" s="1262"/>
      <c r="J13" s="19"/>
    </row>
    <row r="14" spans="1:41">
      <c r="A14" s="1252"/>
      <c r="B14" s="1261"/>
      <c r="C14" s="1262"/>
      <c r="D14" s="1262"/>
      <c r="E14" s="1262"/>
      <c r="F14" s="1262"/>
      <c r="G14" s="1262"/>
      <c r="H14" s="1262"/>
      <c r="I14" s="1262"/>
      <c r="J14" s="19"/>
    </row>
    <row r="15" spans="1:41">
      <c r="A15" s="1252"/>
      <c r="B15" s="1261"/>
      <c r="C15" s="1262"/>
      <c r="D15" s="1262"/>
      <c r="E15" s="1262"/>
      <c r="F15" s="1262"/>
      <c r="G15" s="1262"/>
      <c r="H15" s="1262"/>
      <c r="I15" s="1262"/>
      <c r="J15" s="19"/>
    </row>
    <row r="16" spans="1:41">
      <c r="A16" s="1252"/>
      <c r="B16" s="1261"/>
      <c r="C16" s="1262"/>
      <c r="D16" s="1262"/>
      <c r="E16" s="1262"/>
      <c r="F16" s="1262"/>
      <c r="G16" s="1262"/>
      <c r="H16" s="1262"/>
      <c r="I16" s="1262"/>
      <c r="J16" s="19"/>
    </row>
    <row r="17" spans="1:10">
      <c r="A17" s="1252"/>
      <c r="B17" s="1261"/>
      <c r="C17" s="1262"/>
      <c r="D17" s="1262"/>
      <c r="E17" s="1262"/>
      <c r="F17" s="1262"/>
      <c r="G17" s="1262"/>
      <c r="H17" s="1262"/>
      <c r="I17" s="1262"/>
      <c r="J17" s="19"/>
    </row>
    <row r="18" spans="1:10">
      <c r="A18" s="1252"/>
      <c r="B18" s="1261"/>
      <c r="C18" s="1262"/>
      <c r="D18" s="1262"/>
      <c r="E18" s="1262"/>
      <c r="F18" s="1262"/>
      <c r="G18" s="1262"/>
      <c r="H18" s="1262"/>
      <c r="I18" s="1262"/>
      <c r="J18" s="19"/>
    </row>
    <row r="19" spans="1:10">
      <c r="A19" s="1252"/>
      <c r="B19" s="1261"/>
      <c r="C19" s="1262"/>
      <c r="D19" s="1262"/>
      <c r="E19" s="1262"/>
      <c r="F19" s="1262"/>
      <c r="G19" s="1262"/>
      <c r="H19" s="1262"/>
      <c r="I19" s="1262"/>
      <c r="J19" s="19"/>
    </row>
    <row r="20" spans="1:10">
      <c r="A20" s="1252"/>
      <c r="B20" s="1261"/>
      <c r="C20" s="1262"/>
      <c r="D20" s="1262"/>
      <c r="E20" s="1262"/>
      <c r="F20" s="1262"/>
      <c r="G20" s="1262"/>
      <c r="H20" s="1262"/>
      <c r="I20" s="1262"/>
      <c r="J20" s="19"/>
    </row>
    <row r="21" spans="1:10" ht="23" customHeight="1" thickBot="1">
      <c r="A21" s="1252"/>
      <c r="B21" s="1263" t="s">
        <v>295</v>
      </c>
      <c r="C21" s="1264"/>
      <c r="D21" s="1264"/>
      <c r="E21" s="1264"/>
      <c r="F21" s="1264"/>
      <c r="G21" s="1264"/>
      <c r="H21" s="1264"/>
      <c r="I21" s="1264"/>
      <c r="J21" s="284">
        <f>SUM(J2:J20)</f>
        <v>0</v>
      </c>
    </row>
    <row r="22" spans="1:10" ht="71" customHeight="1" thickTop="1">
      <c r="A22" s="1252"/>
      <c r="B22" s="1265" t="s">
        <v>178</v>
      </c>
      <c r="C22" s="1266"/>
      <c r="D22" s="1266"/>
      <c r="E22" s="1266"/>
      <c r="F22" s="1266"/>
      <c r="G22" s="1266"/>
      <c r="H22" s="1266"/>
      <c r="I22" s="1266"/>
      <c r="J22" s="1267"/>
    </row>
    <row r="23" spans="1:10" ht="19">
      <c r="A23" s="1252"/>
      <c r="B23" s="1268" t="s">
        <v>284</v>
      </c>
      <c r="C23" s="1269"/>
      <c r="D23" s="1269"/>
      <c r="E23" s="1269"/>
      <c r="F23" s="1269"/>
      <c r="G23" s="1269"/>
      <c r="H23" s="1269"/>
      <c r="I23" s="1269"/>
      <c r="J23" s="1270"/>
    </row>
    <row r="24" spans="1:10">
      <c r="A24" s="1252"/>
      <c r="B24" s="1255" t="s">
        <v>237</v>
      </c>
      <c r="C24" s="1256"/>
      <c r="D24" s="1256"/>
      <c r="E24" s="1256"/>
      <c r="F24" s="1256"/>
      <c r="G24" s="1256"/>
      <c r="H24" s="1256"/>
      <c r="I24" s="1256"/>
      <c r="J24" s="259">
        <f>August!W41-August!O63</f>
        <v>0</v>
      </c>
    </row>
    <row r="25" spans="1:10">
      <c r="A25" s="1252"/>
      <c r="B25" s="1255" t="s">
        <v>239</v>
      </c>
      <c r="C25" s="1256"/>
      <c r="D25" s="1256"/>
      <c r="E25" s="1256"/>
      <c r="F25" s="1256"/>
      <c r="G25" s="1256"/>
      <c r="H25" s="1256"/>
      <c r="I25" s="1256"/>
      <c r="J25" s="259">
        <f>September!W39-September!O65</f>
        <v>0</v>
      </c>
    </row>
    <row r="26" spans="1:10">
      <c r="A26" s="1252"/>
      <c r="B26" s="1255" t="s">
        <v>240</v>
      </c>
      <c r="C26" s="1256"/>
      <c r="D26" s="1256"/>
      <c r="E26" s="1256"/>
      <c r="F26" s="1256"/>
      <c r="G26" s="1256"/>
      <c r="H26" s="1256"/>
      <c r="I26" s="1256"/>
      <c r="J26" s="259">
        <f>Oktober!W40-Oktober!O66</f>
        <v>0</v>
      </c>
    </row>
    <row r="27" spans="1:10">
      <c r="A27" s="1252"/>
      <c r="B27" s="1255" t="s">
        <v>241</v>
      </c>
      <c r="C27" s="1256"/>
      <c r="D27" s="1256"/>
      <c r="E27" s="1256"/>
      <c r="F27" s="1256"/>
      <c r="G27" s="1256"/>
      <c r="H27" s="1256"/>
      <c r="I27" s="1256"/>
      <c r="J27" s="259">
        <f>November!W39-November!O65</f>
        <v>0</v>
      </c>
    </row>
    <row r="28" spans="1:10">
      <c r="A28" s="1252"/>
      <c r="B28" s="1255" t="s">
        <v>285</v>
      </c>
      <c r="C28" s="1256"/>
      <c r="D28" s="1256"/>
      <c r="E28" s="1256"/>
      <c r="F28" s="1256"/>
      <c r="G28" s="1256"/>
      <c r="H28" s="1256"/>
      <c r="I28" s="1256"/>
      <c r="J28" s="259">
        <f>December!W40-December!O66</f>
        <v>0</v>
      </c>
    </row>
    <row r="29" spans="1:10">
      <c r="A29" s="1252"/>
      <c r="B29" s="1255" t="s">
        <v>286</v>
      </c>
      <c r="C29" s="1256"/>
      <c r="D29" s="1256"/>
      <c r="E29" s="1256"/>
      <c r="F29" s="1256"/>
      <c r="G29" s="1256"/>
      <c r="H29" s="1256"/>
      <c r="I29" s="1256"/>
      <c r="J29" s="259">
        <f>Januar!W40-Januar!O66</f>
        <v>0</v>
      </c>
    </row>
    <row r="30" spans="1:10">
      <c r="A30" s="1252"/>
      <c r="B30" s="1255" t="s">
        <v>287</v>
      </c>
      <c r="C30" s="1256"/>
      <c r="D30" s="1256"/>
      <c r="E30" s="1256"/>
      <c r="F30" s="1256"/>
      <c r="G30" s="1256"/>
      <c r="H30" s="1256"/>
      <c r="I30" s="1256"/>
      <c r="J30" s="259">
        <f>Februar!W38-Februar!O64</f>
        <v>0</v>
      </c>
    </row>
    <row r="31" spans="1:10">
      <c r="A31" s="1252"/>
      <c r="B31" s="1255" t="s">
        <v>288</v>
      </c>
      <c r="C31" s="1256"/>
      <c r="D31" s="1256"/>
      <c r="E31" s="1256"/>
      <c r="F31" s="1256"/>
      <c r="G31" s="1256"/>
      <c r="H31" s="1256"/>
      <c r="I31" s="1256"/>
      <c r="J31" s="259">
        <f>Marts!W40-Marts!O66</f>
        <v>0</v>
      </c>
    </row>
    <row r="32" spans="1:10">
      <c r="A32" s="1252"/>
      <c r="B32" s="1255" t="s">
        <v>289</v>
      </c>
      <c r="C32" s="1256"/>
      <c r="D32" s="1256"/>
      <c r="E32" s="1256"/>
      <c r="F32" s="1256"/>
      <c r="G32" s="1256"/>
      <c r="H32" s="1256"/>
      <c r="I32" s="1256"/>
      <c r="J32" s="259">
        <f>April!W39-April!O65</f>
        <v>0</v>
      </c>
    </row>
    <row r="33" spans="1:10">
      <c r="A33" s="1252"/>
      <c r="B33" s="1255" t="s">
        <v>290</v>
      </c>
      <c r="C33" s="1256"/>
      <c r="D33" s="1256"/>
      <c r="E33" s="1256"/>
      <c r="F33" s="1256"/>
      <c r="G33" s="1256"/>
      <c r="H33" s="1256"/>
      <c r="I33" s="1256"/>
      <c r="J33" s="259">
        <f>Maj!W40-Maj!O66</f>
        <v>0</v>
      </c>
    </row>
    <row r="34" spans="1:10">
      <c r="A34" s="1252"/>
      <c r="B34" s="1255" t="s">
        <v>291</v>
      </c>
      <c r="C34" s="1256"/>
      <c r="D34" s="1256"/>
      <c r="E34" s="1256"/>
      <c r="F34" s="1256"/>
      <c r="G34" s="1256"/>
      <c r="H34" s="1256"/>
      <c r="I34" s="1256"/>
      <c r="J34" s="259">
        <f>Juni!W39-Juni!O65</f>
        <v>0</v>
      </c>
    </row>
    <row r="35" spans="1:10" ht="17" thickBot="1">
      <c r="A35" s="1252"/>
      <c r="B35" s="1257" t="s">
        <v>292</v>
      </c>
      <c r="C35" s="1258"/>
      <c r="D35" s="1258"/>
      <c r="E35" s="1258"/>
      <c r="F35" s="1258"/>
      <c r="G35" s="1258"/>
      <c r="H35" s="1258"/>
      <c r="I35" s="1258"/>
      <c r="J35" s="356">
        <f>Juli!W40-Juli!O66</f>
        <v>0</v>
      </c>
    </row>
    <row r="36" spans="1:10" ht="17" thickBot="1">
      <c r="A36" s="1252"/>
      <c r="B36" s="1259" t="s">
        <v>293</v>
      </c>
      <c r="C36" s="1260"/>
      <c r="D36" s="1260"/>
      <c r="E36" s="1260"/>
      <c r="F36" s="1260"/>
      <c r="G36" s="1260"/>
      <c r="H36" s="1260"/>
      <c r="I36" s="1260"/>
      <c r="J36" s="286">
        <f>SUM(J24:J35)</f>
        <v>0</v>
      </c>
    </row>
    <row r="37" spans="1:10" ht="51" customHeight="1" thickBot="1">
      <c r="A37" s="1252"/>
      <c r="B37" s="1253" t="s">
        <v>373</v>
      </c>
      <c r="C37" s="1254"/>
      <c r="D37" s="1254"/>
      <c r="E37" s="1254"/>
      <c r="F37" s="1254"/>
      <c r="G37" s="1254"/>
      <c r="H37" s="1254"/>
      <c r="I37" s="1254"/>
      <c r="J37" s="285">
        <f>J21+J36</f>
        <v>0</v>
      </c>
    </row>
  </sheetData>
  <sheetProtection sheet="1" objects="1" scenarios="1"/>
  <mergeCells count="38">
    <mergeCell ref="B7:I7"/>
    <mergeCell ref="B8:I8"/>
    <mergeCell ref="B9:I9"/>
    <mergeCell ref="B10:I10"/>
    <mergeCell ref="B6:I6"/>
    <mergeCell ref="B1:J1"/>
    <mergeCell ref="B2:I2"/>
    <mergeCell ref="B3:I3"/>
    <mergeCell ref="B4:J4"/>
    <mergeCell ref="B5:I5"/>
    <mergeCell ref="B11:I11"/>
    <mergeCell ref="B26:I26"/>
    <mergeCell ref="B27:I27"/>
    <mergeCell ref="B28:I28"/>
    <mergeCell ref="B29:I29"/>
    <mergeCell ref="B18:I18"/>
    <mergeCell ref="B17:I17"/>
    <mergeCell ref="B12:I12"/>
    <mergeCell ref="B13:I13"/>
    <mergeCell ref="B14:I14"/>
    <mergeCell ref="B15:I15"/>
    <mergeCell ref="B16:I16"/>
    <mergeCell ref="A1:A37"/>
    <mergeCell ref="B37:I37"/>
    <mergeCell ref="B31:I31"/>
    <mergeCell ref="B32:I32"/>
    <mergeCell ref="B33:I33"/>
    <mergeCell ref="B34:I34"/>
    <mergeCell ref="B35:I35"/>
    <mergeCell ref="B36:I36"/>
    <mergeCell ref="B30:I30"/>
    <mergeCell ref="B19:I19"/>
    <mergeCell ref="B20:I20"/>
    <mergeCell ref="B21:I21"/>
    <mergeCell ref="B22:J22"/>
    <mergeCell ref="B23:J23"/>
    <mergeCell ref="B24:I24"/>
    <mergeCell ref="B25:I25"/>
  </mergeCells>
  <conditionalFormatting sqref="J5:J20">
    <cfRule type="expression" dxfId="367" priority="1">
      <formula>OR($B5&gt;0,)</formula>
    </cfRule>
  </conditionalFormatting>
  <pageMargins left="0.7" right="0.7" top="0.75" bottom="0.75" header="0.3" footer="0.3"/>
  <pageSetup paperSize="9" scale="76"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85B6-1FF8-934A-A24E-4A51782ACD68}">
  <sheetPr>
    <tabColor theme="6" tint="0.39997558519241921"/>
    <pageSetUpPr fitToPage="1"/>
  </sheetPr>
  <dimension ref="A1:D34"/>
  <sheetViews>
    <sheetView zoomScale="125" zoomScaleNormal="125" zoomScalePageLayoutView="125" workbookViewId="0">
      <selection activeCell="D5" sqref="D5"/>
    </sheetView>
  </sheetViews>
  <sheetFormatPr baseColWidth="10" defaultColWidth="11" defaultRowHeight="16"/>
  <cols>
    <col min="1" max="1" width="6" customWidth="1"/>
    <col min="2" max="2" width="6.1640625" customWidth="1"/>
    <col min="3" max="3" width="68.83203125" customWidth="1"/>
    <col min="4" max="4" width="15" customWidth="1"/>
  </cols>
  <sheetData>
    <row r="1" spans="1:4" ht="19">
      <c r="A1" s="50" t="s">
        <v>76</v>
      </c>
    </row>
    <row r="2" spans="1:4" ht="19">
      <c r="A2" s="50"/>
    </row>
    <row r="3" spans="1:4" ht="19">
      <c r="A3" s="50" t="s">
        <v>77</v>
      </c>
      <c r="C3" s="540" t="str">
        <f>IF(Stamoplysninger!E8&gt;0,Stamoplysninger!E8,"")</f>
        <v/>
      </c>
    </row>
    <row r="4" spans="1:4" ht="19">
      <c r="A4" s="50"/>
    </row>
    <row r="5" spans="1:4" ht="19">
      <c r="A5" s="50"/>
      <c r="C5" s="51" t="s">
        <v>26</v>
      </c>
      <c r="D5" s="541" t="str">
        <f>IF(Stamoplysninger!E15&gt;0,Stamoplysninger!E15,"")</f>
        <v/>
      </c>
    </row>
    <row r="6" spans="1:4">
      <c r="A6" s="314" t="s">
        <v>78</v>
      </c>
      <c r="B6" s="52" t="s">
        <v>79</v>
      </c>
    </row>
    <row r="7" spans="1:4">
      <c r="A7" s="53">
        <v>1</v>
      </c>
      <c r="B7" s="54" t="s">
        <v>80</v>
      </c>
      <c r="C7" s="51"/>
      <c r="D7" s="55"/>
    </row>
    <row r="8" spans="1:4">
      <c r="A8" s="56">
        <v>2</v>
      </c>
      <c r="B8" s="57" t="s">
        <v>81</v>
      </c>
      <c r="C8" s="58"/>
      <c r="D8" s="55"/>
    </row>
    <row r="9" spans="1:4">
      <c r="A9" s="56">
        <v>3</v>
      </c>
      <c r="B9" s="57" t="s">
        <v>126</v>
      </c>
      <c r="C9" s="58"/>
      <c r="D9" s="55"/>
    </row>
    <row r="10" spans="1:4">
      <c r="A10" s="56">
        <v>4</v>
      </c>
      <c r="B10" s="57" t="s">
        <v>82</v>
      </c>
      <c r="C10" s="58"/>
      <c r="D10" s="55"/>
    </row>
    <row r="11" spans="1:4">
      <c r="A11" s="53">
        <v>5</v>
      </c>
      <c r="B11" s="57" t="s">
        <v>83</v>
      </c>
      <c r="C11" s="58"/>
      <c r="D11" s="55"/>
    </row>
    <row r="12" spans="1:4">
      <c r="A12" s="53">
        <v>6</v>
      </c>
      <c r="B12" s="57" t="s">
        <v>171</v>
      </c>
      <c r="C12" s="58"/>
      <c r="D12" s="55"/>
    </row>
    <row r="13" spans="1:4">
      <c r="A13" s="53">
        <v>7</v>
      </c>
      <c r="B13" s="57" t="s">
        <v>84</v>
      </c>
      <c r="C13" s="58"/>
      <c r="D13" s="55"/>
    </row>
    <row r="14" spans="1:4">
      <c r="A14" s="56">
        <v>8</v>
      </c>
      <c r="B14" s="57" t="s">
        <v>85</v>
      </c>
      <c r="C14" s="58"/>
      <c r="D14" s="55"/>
    </row>
    <row r="15" spans="1:4">
      <c r="A15" s="56">
        <v>9</v>
      </c>
      <c r="B15" s="57" t="s">
        <v>172</v>
      </c>
      <c r="C15" s="58"/>
      <c r="D15" s="55"/>
    </row>
    <row r="16" spans="1:4">
      <c r="A16" s="56">
        <v>10</v>
      </c>
      <c r="B16" s="57" t="s">
        <v>127</v>
      </c>
      <c r="C16" s="58"/>
      <c r="D16" s="55"/>
    </row>
    <row r="17" spans="1:4">
      <c r="A17" s="53">
        <v>11</v>
      </c>
      <c r="B17" s="57" t="s">
        <v>127</v>
      </c>
      <c r="C17" s="58"/>
      <c r="D17" s="55"/>
    </row>
    <row r="18" spans="1:4">
      <c r="A18" s="53">
        <v>12</v>
      </c>
      <c r="B18" s="57" t="s">
        <v>127</v>
      </c>
      <c r="C18" s="58"/>
      <c r="D18" s="55"/>
    </row>
    <row r="19" spans="1:4">
      <c r="A19" s="53">
        <v>13</v>
      </c>
      <c r="B19" s="57" t="s">
        <v>127</v>
      </c>
      <c r="C19" s="58"/>
      <c r="D19" s="55"/>
    </row>
    <row r="20" spans="1:4">
      <c r="A20" s="56">
        <v>14</v>
      </c>
      <c r="B20" s="57" t="s">
        <v>127</v>
      </c>
      <c r="C20" s="58"/>
      <c r="D20" s="55"/>
    </row>
    <row r="21" spans="1:4">
      <c r="A21" s="56">
        <v>15</v>
      </c>
      <c r="B21" t="s">
        <v>125</v>
      </c>
      <c r="D21" s="55"/>
    </row>
    <row r="22" spans="1:4">
      <c r="A22" s="56">
        <v>16</v>
      </c>
      <c r="B22" s="59" t="s">
        <v>123</v>
      </c>
      <c r="C22" s="59"/>
      <c r="D22" s="60">
        <f>SUM(D7:D21)</f>
        <v>0</v>
      </c>
    </row>
    <row r="24" spans="1:4">
      <c r="A24" s="53">
        <v>17</v>
      </c>
      <c r="B24" s="54" t="s">
        <v>86</v>
      </c>
      <c r="C24" s="51"/>
      <c r="D24" s="61" t="e">
        <f>IF(D5&gt;0,D22/D5,0)</f>
        <v>#VALUE!</v>
      </c>
    </row>
    <row r="26" spans="1:4">
      <c r="A26" s="53">
        <v>18</v>
      </c>
      <c r="B26" s="54" t="s">
        <v>173</v>
      </c>
      <c r="C26" s="51"/>
      <c r="D26" s="60" t="e">
        <f>IF(D24&gt;0,D24/1924*12,0)</f>
        <v>#VALUE!</v>
      </c>
    </row>
    <row r="27" spans="1:4">
      <c r="A27" s="314"/>
    </row>
    <row r="28" spans="1:4">
      <c r="A28" s="53">
        <v>19</v>
      </c>
      <c r="B28" s="54" t="s">
        <v>87</v>
      </c>
      <c r="C28" s="51"/>
      <c r="D28" s="61" t="e">
        <f>D$26*25%</f>
        <v>#VALUE!</v>
      </c>
    </row>
    <row r="29" spans="1:4">
      <c r="A29" s="314"/>
      <c r="D29" s="62"/>
    </row>
    <row r="30" spans="1:4">
      <c r="A30" s="53">
        <v>20</v>
      </c>
      <c r="B30" s="54" t="s">
        <v>88</v>
      </c>
      <c r="C30" s="51"/>
      <c r="D30" s="61" t="e">
        <f>D$26*50%</f>
        <v>#VALUE!</v>
      </c>
    </row>
    <row r="31" spans="1:4">
      <c r="A31" s="314"/>
      <c r="D31" s="62"/>
    </row>
    <row r="32" spans="1:4">
      <c r="A32" s="53">
        <v>21</v>
      </c>
      <c r="B32" s="54" t="s">
        <v>89</v>
      </c>
      <c r="C32" s="51"/>
      <c r="D32" s="61" t="e">
        <f>D$26</f>
        <v>#VALUE!</v>
      </c>
    </row>
    <row r="34" spans="1:4">
      <c r="A34" s="53">
        <v>22</v>
      </c>
      <c r="B34" s="54" t="s">
        <v>90</v>
      </c>
      <c r="C34" s="51"/>
      <c r="D34" s="61" t="e">
        <f>SUM(D28:D32)</f>
        <v>#VALUE!</v>
      </c>
    </row>
  </sheetData>
  <sheetProtection sheet="1" objects="1" scenarios="1" formatCells="0" formatColumns="0" formatRows="0"/>
  <pageMargins left="0.75" right="0.75" top="1" bottom="1" header="0.5" footer="0.5"/>
  <pageSetup paperSize="9" scale="84" orientation="portrait" horizontalDpi="4294967292" verticalDpi="429496729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I34" sqref="I34"/>
    </sheetView>
  </sheetViews>
  <sheetFormatPr baseColWidth="10" defaultRowHeight="16"/>
  <sheetData/>
  <sheetProtection sheet="1" objects="1" scenarios="1"/>
  <phoneticPr fontId="5" type="noConversion"/>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1"/>
  <sheetViews>
    <sheetView zoomScale="150" zoomScaleNormal="150" zoomScalePageLayoutView="150" workbookViewId="0">
      <selection activeCell="C18" sqref="C18"/>
    </sheetView>
  </sheetViews>
  <sheetFormatPr baseColWidth="10" defaultColWidth="11" defaultRowHeight="16"/>
  <cols>
    <col min="1" max="1" width="4.6640625" customWidth="1"/>
    <col min="2" max="2" width="34.33203125" customWidth="1"/>
    <col min="3" max="3" width="12.5" customWidth="1"/>
    <col min="4" max="4" width="14.6640625" bestFit="1" customWidth="1"/>
    <col min="5" max="5" width="11.1640625" customWidth="1"/>
  </cols>
  <sheetData>
    <row r="2" spans="2:8">
      <c r="B2" s="2" t="s">
        <v>1</v>
      </c>
      <c r="C2" s="1114" t="e">
        <f>_xlfn.SINGLE(Arbejdstidsoversigt!#REF!)</f>
        <v>#REF!</v>
      </c>
      <c r="D2" s="1115"/>
      <c r="E2" s="767"/>
    </row>
    <row r="3" spans="2:8">
      <c r="B3" s="2" t="s">
        <v>2</v>
      </c>
      <c r="C3" s="1279" t="e">
        <f>_xlfn.SINGLE(Arbejdstidsoversigt!#REF!)</f>
        <v>#REF!</v>
      </c>
      <c r="D3" s="1279"/>
      <c r="E3" s="1279"/>
    </row>
    <row r="4" spans="2:8">
      <c r="B4" s="2" t="s">
        <v>3</v>
      </c>
      <c r="C4" s="1279" t="e">
        <f>Arbejdstidsoversigt!#REF!</f>
        <v>#REF!</v>
      </c>
      <c r="D4" s="1279"/>
      <c r="E4" s="1279"/>
    </row>
    <row r="5" spans="2:8" ht="34" customHeight="1">
      <c r="B5" s="1280" t="s">
        <v>23</v>
      </c>
      <c r="C5" s="1280"/>
      <c r="D5" s="1280"/>
      <c r="E5" s="1280"/>
    </row>
    <row r="6" spans="2:8" ht="15" customHeight="1">
      <c r="B6" s="3"/>
      <c r="C6" s="3"/>
      <c r="D6" s="3"/>
      <c r="E6" s="3"/>
    </row>
    <row r="7" spans="2:8" ht="21">
      <c r="B7" s="5" t="s">
        <v>0</v>
      </c>
    </row>
    <row r="8" spans="2:8" ht="31">
      <c r="B8" s="1285" t="s">
        <v>48</v>
      </c>
      <c r="C8" s="1286"/>
      <c r="D8" s="1286"/>
      <c r="E8" s="1286"/>
      <c r="F8" s="1286"/>
      <c r="G8" s="1286"/>
      <c r="H8" s="1287"/>
    </row>
    <row r="9" spans="2:8" ht="15" customHeight="1">
      <c r="B9" s="1288" t="s">
        <v>52</v>
      </c>
      <c r="C9" s="1289"/>
      <c r="D9" s="1289"/>
      <c r="E9" s="1289"/>
      <c r="F9" s="1289"/>
      <c r="G9" s="1289"/>
      <c r="H9" s="1290"/>
    </row>
    <row r="10" spans="2:8" ht="34">
      <c r="B10" s="27" t="s">
        <v>32</v>
      </c>
      <c r="C10" s="28" t="s">
        <v>33</v>
      </c>
      <c r="D10" s="29" t="s">
        <v>34</v>
      </c>
      <c r="E10" s="29" t="s">
        <v>35</v>
      </c>
      <c r="F10" s="29" t="s">
        <v>36</v>
      </c>
      <c r="G10" s="29" t="s">
        <v>37</v>
      </c>
      <c r="H10" s="29" t="s">
        <v>38</v>
      </c>
    </row>
    <row r="11" spans="2:8" ht="15" customHeight="1">
      <c r="B11" s="25">
        <v>1</v>
      </c>
      <c r="C11" s="30">
        <v>15</v>
      </c>
      <c r="D11" s="30" t="s">
        <v>43</v>
      </c>
      <c r="E11" s="32"/>
      <c r="F11" s="32" t="s">
        <v>43</v>
      </c>
      <c r="G11" s="32"/>
      <c r="H11" s="30" t="s">
        <v>43</v>
      </c>
    </row>
    <row r="12" spans="2:8" ht="15" customHeight="1">
      <c r="B12" s="25">
        <v>2</v>
      </c>
      <c r="C12" s="30">
        <v>60</v>
      </c>
      <c r="D12" s="30" t="s">
        <v>6</v>
      </c>
      <c r="E12" s="32" t="s">
        <v>5</v>
      </c>
      <c r="F12" s="32" t="s">
        <v>8</v>
      </c>
      <c r="G12" s="32" t="s">
        <v>41</v>
      </c>
      <c r="H12" s="32" t="s">
        <v>45</v>
      </c>
    </row>
    <row r="13" spans="2:8" ht="15" customHeight="1">
      <c r="B13" s="25">
        <v>3</v>
      </c>
      <c r="C13" s="30">
        <v>60</v>
      </c>
      <c r="D13" s="30" t="s">
        <v>39</v>
      </c>
      <c r="E13" s="32" t="s">
        <v>6</v>
      </c>
      <c r="F13" s="32" t="s">
        <v>5</v>
      </c>
      <c r="G13" s="32" t="s">
        <v>41</v>
      </c>
      <c r="H13" s="32" t="s">
        <v>7</v>
      </c>
    </row>
    <row r="14" spans="2:8" ht="15" customHeight="1">
      <c r="B14" s="25">
        <v>4</v>
      </c>
      <c r="C14" s="30">
        <v>60</v>
      </c>
      <c r="D14" s="30" t="s">
        <v>8</v>
      </c>
      <c r="E14" s="32" t="s">
        <v>6</v>
      </c>
      <c r="F14" s="32" t="s">
        <v>5</v>
      </c>
      <c r="G14" s="32" t="s">
        <v>5</v>
      </c>
      <c r="H14" s="32" t="s">
        <v>7</v>
      </c>
    </row>
    <row r="15" spans="2:8" ht="15" customHeight="1">
      <c r="B15" s="25">
        <v>5</v>
      </c>
      <c r="C15" s="30">
        <v>45</v>
      </c>
      <c r="D15" s="30"/>
      <c r="E15" s="32" t="s">
        <v>42</v>
      </c>
      <c r="F15" s="32" t="s">
        <v>44</v>
      </c>
      <c r="G15" s="32"/>
      <c r="H15" s="32" t="s">
        <v>5</v>
      </c>
    </row>
    <row r="16" spans="2:8" ht="15" customHeight="1">
      <c r="B16" s="33">
        <v>6</v>
      </c>
      <c r="C16" s="30">
        <v>45</v>
      </c>
      <c r="D16" s="32" t="s">
        <v>40</v>
      </c>
      <c r="E16" s="32" t="s">
        <v>42</v>
      </c>
      <c r="F16" s="32" t="s">
        <v>44</v>
      </c>
      <c r="G16" s="32"/>
      <c r="H16" s="30"/>
    </row>
    <row r="17" spans="1:8" ht="15" customHeight="1">
      <c r="B17" s="33">
        <v>7</v>
      </c>
      <c r="C17" s="30">
        <v>45</v>
      </c>
      <c r="D17" s="32" t="s">
        <v>40</v>
      </c>
      <c r="E17" s="32"/>
      <c r="F17" s="32"/>
      <c r="G17" s="32"/>
      <c r="H17" s="30"/>
    </row>
    <row r="18" spans="1:8" ht="15" customHeight="1">
      <c r="B18" s="33">
        <v>8</v>
      </c>
      <c r="C18" s="30">
        <v>45</v>
      </c>
      <c r="D18" s="32"/>
      <c r="E18" s="32"/>
      <c r="F18" s="32"/>
      <c r="G18" s="32"/>
      <c r="H18" s="31"/>
    </row>
    <row r="19" spans="1:8" ht="15" customHeight="1">
      <c r="B19" s="1291" t="s">
        <v>55</v>
      </c>
      <c r="C19" s="1292"/>
      <c r="D19" s="32">
        <v>38</v>
      </c>
      <c r="E19" s="32">
        <v>40</v>
      </c>
      <c r="F19" s="32">
        <v>39</v>
      </c>
      <c r="G19" s="32">
        <v>39</v>
      </c>
      <c r="H19" s="32">
        <v>38</v>
      </c>
    </row>
    <row r="20" spans="1:8" ht="15" customHeight="1">
      <c r="B20" s="694" t="s">
        <v>57</v>
      </c>
      <c r="C20" s="696"/>
      <c r="D20" s="29" t="e">
        <f>(IF(D11&lt;&gt;0,D19*$C$24)+IF(D12&lt;&gt;0,$C$25*D19)+IF(D13&lt;&gt;0,D19*$C$26)+IF(D14&lt;&gt;0,D19*$C$27)+IF(D15&lt;&gt;0,D19*$C$28)+IF(D16&lt;&gt;0,D19*$C$29)+IF(D17&lt;&gt;0,D19*$C$30)+IF(D18&lt;&gt;0,D19*$C$31))/60</f>
        <v>#VALUE!</v>
      </c>
      <c r="E20" s="29" t="e">
        <f>(IF(E11&lt;&gt;0,E19*$C$24)+IF(E12&lt;&gt;0,$C$25*E19)+IF(E13&lt;&gt;0,E19*$C$26)+IF(E14&lt;&gt;0,E19*$C$27)+IF(E15&lt;&gt;0,E19*$C$28)+IF(E16&lt;&gt;0,E19*$C$29)+IF(E17&lt;&gt;0,E19*$C$30)+IF(E18&lt;&gt;0,E19*$C$31))/60</f>
        <v>#VALUE!</v>
      </c>
      <c r="F20" s="29" t="e">
        <f>(IF(F11&lt;&gt;0,F19*$C$24)+IF(F12&lt;&gt;0,$C$25*F19)+IF(F13&lt;&gt;0,F19*$C$26)+IF(F14&lt;&gt;0,F19*$C$27)+IF(F15&lt;&gt;0,F19*$C$28)+IF(F16&lt;&gt;0,F19*$C$29)+IF(F17&lt;&gt;0,F19*$C$30)+IF(F18&lt;&gt;0,F19*$C$31))/60</f>
        <v>#VALUE!</v>
      </c>
      <c r="G20" s="29" t="e">
        <f>(IF(G11&lt;&gt;0,G19*$C$24)+IF(G12&lt;&gt;0,$C$25*G19)+IF(G13&lt;&gt;0,G19*$C$26)+IF(G14&lt;&gt;0,G19*$C$27)+IF(G15&lt;&gt;0,G19*$C$28)+IF(G16&lt;&gt;0,G19*$C$29)+IF(G17&lt;&gt;0,G19*$C$30)+IF(G18&lt;&gt;0,G19*$C$31))/60</f>
        <v>#VALUE!</v>
      </c>
      <c r="H20" s="29" t="e">
        <f>(IF(H11&lt;&gt;0,H19*$C$24)+IF(H12&lt;&gt;0,$C$25*H19)+IF(H13&lt;&gt;0,H19*$C$26)+IF(H14&lt;&gt;0,H19*$C$27)+IF(H15&lt;&gt;0,H19*$C$28)+IF(H16&lt;&gt;0,H19*$C$29)+IF(H17&lt;&gt;0,H19*$C$30)+IF(H18&lt;&gt;0,H19*$C$31))/60</f>
        <v>#VALUE!</v>
      </c>
    </row>
    <row r="21" spans="1:8" ht="15" customHeight="1">
      <c r="B21" s="1293" t="s">
        <v>54</v>
      </c>
      <c r="C21" s="800" t="s">
        <v>46</v>
      </c>
      <c r="D21" s="762"/>
      <c r="E21" s="762"/>
      <c r="F21" s="762"/>
      <c r="G21" s="1296"/>
      <c r="H21" s="29" t="e">
        <f>SUM(D20:H20)</f>
        <v>#VALUE!</v>
      </c>
    </row>
    <row r="22" spans="1:8" ht="15" customHeight="1">
      <c r="B22" s="1294"/>
      <c r="C22" s="1297" t="s">
        <v>49</v>
      </c>
      <c r="D22" s="1298"/>
      <c r="E22" s="1298"/>
      <c r="F22" s="1298"/>
      <c r="G22" s="1299"/>
      <c r="H22" s="32">
        <v>32</v>
      </c>
    </row>
    <row r="23" spans="1:8" ht="15" customHeight="1">
      <c r="B23" s="1294"/>
      <c r="C23" s="1297" t="s">
        <v>50</v>
      </c>
      <c r="D23" s="1298"/>
      <c r="E23" s="1298"/>
      <c r="F23" s="1298"/>
      <c r="G23" s="1299"/>
      <c r="H23" s="32">
        <v>12</v>
      </c>
    </row>
    <row r="24" spans="1:8" ht="15" customHeight="1">
      <c r="A24" s="1278"/>
      <c r="B24" s="1294"/>
      <c r="C24" s="1297" t="s">
        <v>51</v>
      </c>
      <c r="D24" s="1298"/>
      <c r="E24" s="1298"/>
      <c r="F24" s="1298"/>
      <c r="G24" s="1299"/>
      <c r="H24" s="32">
        <v>65</v>
      </c>
    </row>
    <row r="25" spans="1:8" ht="15" customHeight="1">
      <c r="A25" s="1278"/>
      <c r="B25" s="1295"/>
      <c r="C25" s="800" t="s">
        <v>47</v>
      </c>
      <c r="D25" s="762"/>
      <c r="E25" s="762"/>
      <c r="F25" s="762"/>
      <c r="G25" s="1296"/>
      <c r="H25" s="29" t="e">
        <f>SUM(H21:H24)</f>
        <v>#VALUE!</v>
      </c>
    </row>
    <row r="26" spans="1:8">
      <c r="A26" s="1278"/>
      <c r="B26" s="14" t="s">
        <v>12</v>
      </c>
      <c r="C26" s="15">
        <v>5</v>
      </c>
      <c r="D26" s="15">
        <v>8</v>
      </c>
      <c r="E26" s="18">
        <f>D26*C26</f>
        <v>40</v>
      </c>
    </row>
    <row r="27" spans="1:8" ht="17" thickBot="1">
      <c r="A27" s="1278"/>
      <c r="B27" s="20"/>
      <c r="C27" s="21"/>
      <c r="D27" s="21"/>
      <c r="E27" s="22"/>
    </row>
    <row r="28" spans="1:8" ht="17" thickBot="1">
      <c r="A28" s="1278"/>
    </row>
    <row r="29" spans="1:8" ht="17" thickBot="1">
      <c r="B29" s="10" t="s">
        <v>11</v>
      </c>
      <c r="C29" s="11" t="s">
        <v>10</v>
      </c>
      <c r="D29" s="11" t="s">
        <v>13</v>
      </c>
      <c r="E29" s="12" t="s">
        <v>14</v>
      </c>
    </row>
    <row r="30" spans="1:8">
      <c r="B30" s="14" t="s">
        <v>22</v>
      </c>
      <c r="C30" s="15">
        <v>1</v>
      </c>
      <c r="D30" s="15">
        <v>7</v>
      </c>
      <c r="E30" s="18">
        <f>D30*C30</f>
        <v>7</v>
      </c>
    </row>
    <row r="31" spans="1:8">
      <c r="B31" s="16" t="s">
        <v>17</v>
      </c>
      <c r="C31" s="17">
        <v>1</v>
      </c>
      <c r="D31" s="17">
        <v>8</v>
      </c>
      <c r="E31" s="18">
        <f>D31*C31</f>
        <v>8</v>
      </c>
    </row>
    <row r="32" spans="1:8" ht="17" thickBot="1">
      <c r="B32" s="20"/>
      <c r="C32" s="21"/>
      <c r="D32" s="21"/>
      <c r="E32" s="23">
        <f>D32*C32</f>
        <v>0</v>
      </c>
    </row>
    <row r="33" spans="1:5" ht="17" thickBot="1">
      <c r="B33" s="7" t="s">
        <v>20</v>
      </c>
      <c r="C33" s="8"/>
      <c r="D33" s="8"/>
      <c r="E33" s="9" t="e">
        <f>SUM(E10:E32)</f>
        <v>#VALUE!</v>
      </c>
    </row>
    <row r="35" spans="1:5" ht="22" thickBot="1">
      <c r="A35" s="1278"/>
      <c r="B35" s="6" t="s">
        <v>15</v>
      </c>
    </row>
    <row r="36" spans="1:5" ht="17" thickBot="1">
      <c r="A36" s="1278"/>
      <c r="B36" s="1302" t="s">
        <v>15</v>
      </c>
      <c r="C36" s="1303"/>
      <c r="D36" s="12" t="s">
        <v>19</v>
      </c>
    </row>
    <row r="37" spans="1:5">
      <c r="A37" s="1278"/>
      <c r="B37" s="1281" t="s">
        <v>16</v>
      </c>
      <c r="C37" s="1282"/>
      <c r="D37" s="18"/>
      <c r="E37" s="4"/>
    </row>
    <row r="38" spans="1:5">
      <c r="A38" s="1278"/>
      <c r="B38" s="1283" t="s">
        <v>18</v>
      </c>
      <c r="C38" s="1284"/>
      <c r="D38" s="19"/>
      <c r="E38" s="4"/>
    </row>
    <row r="39" spans="1:5">
      <c r="B39" s="1283" t="s">
        <v>21</v>
      </c>
      <c r="C39" s="1284"/>
      <c r="D39" s="19"/>
      <c r="E39" s="4"/>
    </row>
    <row r="40" spans="1:5">
      <c r="B40" s="1283"/>
      <c r="C40" s="1284"/>
      <c r="D40" s="19"/>
      <c r="E40" s="4"/>
    </row>
    <row r="41" spans="1:5">
      <c r="B41" s="1283"/>
      <c r="C41" s="1284"/>
      <c r="D41" s="19"/>
      <c r="E41" s="4"/>
    </row>
    <row r="42" spans="1:5">
      <c r="B42" s="1283"/>
      <c r="C42" s="1284"/>
      <c r="D42" s="19"/>
      <c r="E42" s="4"/>
    </row>
    <row r="43" spans="1:5">
      <c r="B43" s="1283"/>
      <c r="C43" s="1284"/>
      <c r="D43" s="19"/>
      <c r="E43" s="4"/>
    </row>
    <row r="44" spans="1:5">
      <c r="B44" s="1283"/>
      <c r="C44" s="1284"/>
      <c r="D44" s="19"/>
      <c r="E44" s="4"/>
    </row>
    <row r="45" spans="1:5">
      <c r="B45" s="1283"/>
      <c r="C45" s="1284"/>
      <c r="D45" s="19"/>
      <c r="E45" s="4"/>
    </row>
    <row r="46" spans="1:5">
      <c r="B46" s="1283"/>
      <c r="C46" s="1284"/>
      <c r="D46" s="19"/>
      <c r="E46" s="4"/>
    </row>
    <row r="47" spans="1:5">
      <c r="B47" s="1283"/>
      <c r="C47" s="1284"/>
      <c r="D47" s="19"/>
      <c r="E47" s="4"/>
    </row>
    <row r="48" spans="1:5">
      <c r="B48" s="1283"/>
      <c r="C48" s="1284"/>
      <c r="D48" s="19"/>
      <c r="E48" s="4"/>
    </row>
    <row r="49" spans="2:5">
      <c r="B49" s="1283"/>
      <c r="C49" s="1284"/>
      <c r="D49" s="19"/>
      <c r="E49" s="4"/>
    </row>
    <row r="50" spans="2:5">
      <c r="B50" s="1283"/>
      <c r="C50" s="1284"/>
      <c r="D50" s="19"/>
      <c r="E50" s="4"/>
    </row>
    <row r="51" spans="2:5" ht="17" thickBot="1">
      <c r="B51" s="1300"/>
      <c r="C51" s="1301"/>
      <c r="D51" s="22"/>
      <c r="E51" s="4"/>
    </row>
  </sheetData>
  <mergeCells count="32">
    <mergeCell ref="C24:G24"/>
    <mergeCell ref="C25:G25"/>
    <mergeCell ref="B49:C49"/>
    <mergeCell ref="B50:C50"/>
    <mergeCell ref="B51:C51"/>
    <mergeCell ref="B36:C36"/>
    <mergeCell ref="B44:C44"/>
    <mergeCell ref="B45:C45"/>
    <mergeCell ref="B46:C46"/>
    <mergeCell ref="B47:C47"/>
    <mergeCell ref="B48:C48"/>
    <mergeCell ref="B39:C39"/>
    <mergeCell ref="B40:C40"/>
    <mergeCell ref="B41:C41"/>
    <mergeCell ref="B42:C42"/>
    <mergeCell ref="B43:C43"/>
    <mergeCell ref="A24:A28"/>
    <mergeCell ref="A35:A38"/>
    <mergeCell ref="C2:E2"/>
    <mergeCell ref="C3:E3"/>
    <mergeCell ref="C4:E4"/>
    <mergeCell ref="B5:E5"/>
    <mergeCell ref="B37:C37"/>
    <mergeCell ref="B38:C38"/>
    <mergeCell ref="B8:H8"/>
    <mergeCell ref="B9:H9"/>
    <mergeCell ref="B19:C19"/>
    <mergeCell ref="B20:C20"/>
    <mergeCell ref="B21:B25"/>
    <mergeCell ref="C21:G21"/>
    <mergeCell ref="C22:G22"/>
    <mergeCell ref="C23:G23"/>
  </mergeCells>
  <phoneticPr fontId="5" type="noConversion"/>
  <pageMargins left="0.75" right="0.75" top="1" bottom="1" header="0.5" footer="0.5"/>
  <pageSetup paperSize="9" scale="85" orientation="portrait" horizontalDpi="4294967292" verticalDpi="4294967292"/>
  <rowBreaks count="2" manualBreakCount="2">
    <brk id="51" max="16383" man="1"/>
    <brk id="52" max="16383" man="1"/>
  </rowBreaks>
  <colBreaks count="1" manualBreakCount="1">
    <brk id="6"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 defaultRowHeight="16"/>
  <sheetData/>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V41"/>
  <sheetViews>
    <sheetView showZeros="0" view="pageLayout" workbookViewId="0">
      <selection activeCell="K49" sqref="K49"/>
    </sheetView>
  </sheetViews>
  <sheetFormatPr baseColWidth="10" defaultRowHeight="12"/>
  <cols>
    <col min="1" max="1" width="3" style="66" customWidth="1"/>
    <col min="2" max="2" width="3.33203125" style="66" customWidth="1"/>
    <col min="3" max="3" width="12.1640625" style="66" customWidth="1"/>
    <col min="4" max="5" width="3" style="66" customWidth="1"/>
    <col min="6" max="6" width="3.33203125" style="66" customWidth="1"/>
    <col min="7" max="7" width="12.1640625" style="66" customWidth="1"/>
    <col min="8" max="8" width="2.5" style="66" customWidth="1"/>
    <col min="9" max="9" width="3" style="66" customWidth="1"/>
    <col min="10" max="10" width="3.33203125" style="66" customWidth="1"/>
    <col min="11" max="11" width="12.1640625" style="66" customWidth="1"/>
    <col min="12" max="12" width="2.5" style="66" customWidth="1"/>
    <col min="13" max="13" width="3" style="66" customWidth="1"/>
    <col min="14" max="14" width="3.33203125" style="66" customWidth="1"/>
    <col min="15" max="15" width="12.1640625" style="66" customWidth="1"/>
    <col min="16" max="16" width="2.5" style="66" customWidth="1"/>
    <col min="17" max="17" width="3" style="66" customWidth="1"/>
    <col min="18" max="18" width="3.33203125" style="66" customWidth="1"/>
    <col min="19" max="19" width="12.1640625" style="66" customWidth="1"/>
    <col min="20" max="20" width="2.5" style="66" customWidth="1"/>
    <col min="21" max="21" width="3" style="66" customWidth="1"/>
    <col min="22" max="22" width="3.33203125" style="66" customWidth="1"/>
    <col min="23" max="23" width="12.1640625" style="66" customWidth="1"/>
    <col min="24" max="24" width="2.5" style="66" customWidth="1"/>
    <col min="25" max="25" width="3" style="66" customWidth="1"/>
    <col min="26" max="26" width="3.33203125" style="66" customWidth="1"/>
    <col min="27" max="27" width="12.1640625" style="66" customWidth="1"/>
    <col min="28" max="28" width="2.5" style="66" customWidth="1"/>
    <col min="29" max="29" width="3" style="66" customWidth="1"/>
    <col min="30" max="30" width="3.33203125" style="66" customWidth="1"/>
    <col min="31" max="31" width="12.1640625" style="66" customWidth="1"/>
    <col min="32" max="32" width="2.5" style="66" customWidth="1"/>
    <col min="33" max="33" width="3" style="66" customWidth="1"/>
    <col min="34" max="34" width="3.33203125" style="66" customWidth="1"/>
    <col min="35" max="35" width="12.1640625" style="66" customWidth="1"/>
    <col min="36" max="36" width="2.5" style="66" customWidth="1"/>
    <col min="37" max="37" width="3" style="66" customWidth="1"/>
    <col min="38" max="38" width="3.33203125" style="66" customWidth="1"/>
    <col min="39" max="39" width="12.1640625" style="66" customWidth="1"/>
    <col min="40" max="40" width="2.5" style="66" customWidth="1"/>
    <col min="41" max="41" width="3" style="66" customWidth="1"/>
    <col min="42" max="42" width="3.33203125" style="66" customWidth="1"/>
    <col min="43" max="43" width="12.1640625" style="66" customWidth="1"/>
    <col min="44" max="44" width="2.5" style="66" customWidth="1"/>
    <col min="45" max="45" width="3" style="66" customWidth="1"/>
    <col min="46" max="46" width="3.6640625" style="66" customWidth="1"/>
    <col min="47" max="47" width="12.1640625" style="66" customWidth="1"/>
    <col min="48" max="48" width="4.33203125" style="66" customWidth="1"/>
    <col min="49" max="16384" width="10.83203125" style="66"/>
  </cols>
  <sheetData>
    <row r="1" spans="1:48" ht="30" customHeight="1" thickBot="1">
      <c r="A1" s="112" t="str">
        <f>"ÅRSKALENDER  for  "&amp;Stamoplysninger!E8&amp;" vedr. skoleåret "&amp;Stamoplysninger!F6&amp;""</f>
        <v>ÅRSKALENDER  for   vedr. skoleåret 2023-2024</v>
      </c>
      <c r="B1" s="110"/>
      <c r="C1" s="109"/>
      <c r="D1" s="111"/>
      <c r="E1" s="109"/>
      <c r="F1" s="110"/>
      <c r="G1" s="109"/>
      <c r="H1" s="111"/>
      <c r="I1" s="109"/>
      <c r="J1" s="110"/>
      <c r="K1" s="109"/>
      <c r="L1" s="111"/>
      <c r="M1" s="109"/>
      <c r="N1" s="110"/>
      <c r="O1" s="109"/>
      <c r="P1" s="111"/>
      <c r="Q1" s="109"/>
      <c r="R1" s="110"/>
      <c r="S1" s="109"/>
      <c r="T1" s="111"/>
      <c r="U1" s="109"/>
      <c r="V1" s="110"/>
      <c r="W1" s="109"/>
      <c r="X1" s="111"/>
      <c r="Y1" s="109"/>
      <c r="Z1" s="110"/>
      <c r="AA1" s="109"/>
      <c r="AB1" s="111"/>
      <c r="AC1" s="109"/>
      <c r="AD1" s="110"/>
      <c r="AE1" s="109"/>
      <c r="AF1" s="111"/>
      <c r="AG1" s="109"/>
      <c r="AH1" s="110"/>
      <c r="AI1" s="109"/>
      <c r="AJ1" s="111"/>
      <c r="AK1" s="109"/>
      <c r="AL1" s="110"/>
      <c r="AM1" s="109"/>
      <c r="AN1" s="111"/>
      <c r="AO1" s="109"/>
      <c r="AP1" s="110"/>
      <c r="AQ1" s="109"/>
      <c r="AR1" s="111"/>
      <c r="AS1" s="109"/>
      <c r="AT1" s="110"/>
      <c r="AU1" s="109"/>
      <c r="AV1" s="108"/>
    </row>
    <row r="2" spans="1:48" ht="24" customHeight="1">
      <c r="A2" s="615" t="s">
        <v>92</v>
      </c>
      <c r="B2" s="616"/>
      <c r="C2" s="617"/>
      <c r="D2" s="618"/>
      <c r="E2" s="614" t="s">
        <v>93</v>
      </c>
      <c r="F2" s="105"/>
      <c r="G2" s="104"/>
      <c r="H2" s="103"/>
      <c r="I2" s="107" t="s">
        <v>94</v>
      </c>
      <c r="J2" s="105"/>
      <c r="K2" s="104"/>
      <c r="L2" s="103"/>
      <c r="M2" s="106" t="s">
        <v>95</v>
      </c>
      <c r="N2" s="105"/>
      <c r="O2" s="104"/>
      <c r="P2" s="103"/>
      <c r="Q2" s="106" t="s">
        <v>96</v>
      </c>
      <c r="R2" s="105"/>
      <c r="S2" s="104"/>
      <c r="T2" s="103"/>
      <c r="U2" s="106" t="s">
        <v>97</v>
      </c>
      <c r="V2" s="105"/>
      <c r="W2" s="104"/>
      <c r="X2" s="103"/>
      <c r="Y2" s="107" t="s">
        <v>100</v>
      </c>
      <c r="Z2" s="105"/>
      <c r="AA2" s="104"/>
      <c r="AB2" s="103"/>
      <c r="AC2" s="106" t="s">
        <v>101</v>
      </c>
      <c r="AD2" s="105"/>
      <c r="AE2" s="104"/>
      <c r="AF2" s="103"/>
      <c r="AG2" s="106" t="s">
        <v>102</v>
      </c>
      <c r="AH2" s="105"/>
      <c r="AI2" s="104"/>
      <c r="AJ2" s="103"/>
      <c r="AK2" s="106" t="s">
        <v>103</v>
      </c>
      <c r="AL2" s="105"/>
      <c r="AM2" s="104"/>
      <c r="AN2" s="103"/>
      <c r="AO2" s="106" t="s">
        <v>104</v>
      </c>
      <c r="AP2" s="105"/>
      <c r="AQ2" s="104"/>
      <c r="AR2" s="103"/>
      <c r="AS2" s="106" t="s">
        <v>105</v>
      </c>
      <c r="AT2" s="105"/>
      <c r="AU2" s="104"/>
      <c r="AV2" s="103"/>
    </row>
    <row r="3" spans="1:48" ht="24" customHeight="1">
      <c r="A3" s="619">
        <f>August!A10</f>
        <v>1</v>
      </c>
      <c r="B3" s="620" t="str">
        <f>August!B10</f>
        <v>ti</v>
      </c>
      <c r="C3" s="128" t="str">
        <f>August!C10</f>
        <v>Feriedag</v>
      </c>
      <c r="D3" s="131" t="str">
        <f>August!D10</f>
        <v/>
      </c>
      <c r="E3" s="619">
        <f>September!A9</f>
        <v>1</v>
      </c>
      <c r="F3" s="620" t="str">
        <f>September!B9</f>
        <v>fr</v>
      </c>
      <c r="G3" s="128" t="str">
        <f>September!C9</f>
        <v>Skema 1</v>
      </c>
      <c r="H3" s="131" t="str">
        <f>September!D9</f>
        <v/>
      </c>
      <c r="I3" s="619">
        <f>Oktober!A9</f>
        <v>1</v>
      </c>
      <c r="J3" s="620" t="str">
        <f>Oktober!B9</f>
        <v>sø</v>
      </c>
      <c r="K3" s="128" t="str">
        <f>Oktober!C9</f>
        <v>Weekend</v>
      </c>
      <c r="L3" s="131" t="str">
        <f>Oktober!D9</f>
        <v/>
      </c>
      <c r="M3" s="619">
        <f>November!A9</f>
        <v>1</v>
      </c>
      <c r="N3" s="620" t="str">
        <f>November!B9</f>
        <v>on</v>
      </c>
      <c r="O3" s="128" t="str">
        <f>November!C9</f>
        <v>Skema 1</v>
      </c>
      <c r="P3" s="131" t="str">
        <f>November!D9</f>
        <v/>
      </c>
      <c r="Q3" s="619">
        <f>December!A9</f>
        <v>1</v>
      </c>
      <c r="R3" s="620" t="str">
        <f>December!B9</f>
        <v>fr</v>
      </c>
      <c r="S3" s="128" t="str">
        <f>December!C9</f>
        <v>Skema 1</v>
      </c>
      <c r="T3" s="131" t="str">
        <f>December!D9</f>
        <v/>
      </c>
      <c r="U3" s="67">
        <f>Januar!A9</f>
        <v>1</v>
      </c>
      <c r="V3" s="67" t="str">
        <f>Januar!B9</f>
        <v>ma</v>
      </c>
      <c r="W3" s="128" t="str">
        <f>Januar!C9</f>
        <v>SH-dag</v>
      </c>
      <c r="X3" s="130">
        <f>Januar!D9</f>
        <v>1</v>
      </c>
      <c r="Y3" s="619">
        <f>Februar!A9</f>
        <v>1</v>
      </c>
      <c r="Z3" s="620" t="str">
        <f>Februar!B9</f>
        <v>to</v>
      </c>
      <c r="AA3" s="128" t="str">
        <f>Februar!C9</f>
        <v>Skema 1</v>
      </c>
      <c r="AB3" s="131" t="str">
        <f>Februar!D9</f>
        <v/>
      </c>
      <c r="AC3" s="67">
        <f>Marts!A9</f>
        <v>1</v>
      </c>
      <c r="AD3" s="67" t="str">
        <f>Marts!B9</f>
        <v>fr</v>
      </c>
      <c r="AE3" s="128" t="str">
        <f>Marts!C9</f>
        <v>Skema 1</v>
      </c>
      <c r="AF3" s="130" t="str">
        <f>Marts!D9</f>
        <v/>
      </c>
      <c r="AG3" s="619">
        <f>April!A9</f>
        <v>1</v>
      </c>
      <c r="AH3" s="620" t="str">
        <f>April!B9</f>
        <v>ma</v>
      </c>
      <c r="AI3" s="128" t="str">
        <f>April!C9</f>
        <v>SH-dag</v>
      </c>
      <c r="AJ3" s="131">
        <f>April!D9</f>
        <v>14</v>
      </c>
      <c r="AK3" s="627">
        <f>Maj!A9</f>
        <v>1</v>
      </c>
      <c r="AL3" s="508" t="str">
        <f>Maj!B9</f>
        <v>on</v>
      </c>
      <c r="AM3" s="128" t="str">
        <f>Maj!C9</f>
        <v>Skema 1</v>
      </c>
      <c r="AN3" s="628" t="str">
        <f>Maj!D9</f>
        <v/>
      </c>
      <c r="AO3" s="627">
        <f>Juni!A9</f>
        <v>1</v>
      </c>
      <c r="AP3" s="508" t="str">
        <f>Juni!B9</f>
        <v>lø</v>
      </c>
      <c r="AQ3" s="128" t="str">
        <f>Juni!C9</f>
        <v>Weekend</v>
      </c>
      <c r="AR3" s="628" t="str">
        <f>Juni!D9</f>
        <v/>
      </c>
      <c r="AS3" s="627">
        <f>Juli!A9</f>
        <v>1</v>
      </c>
      <c r="AT3" s="508" t="str">
        <f>Juli!B9</f>
        <v>ma</v>
      </c>
      <c r="AU3" s="128" t="str">
        <f>Juli!C9</f>
        <v>Nul-dag</v>
      </c>
      <c r="AV3" s="628">
        <f>Juli!D9</f>
        <v>27</v>
      </c>
    </row>
    <row r="4" spans="1:48" ht="24" customHeight="1">
      <c r="A4" s="621">
        <f>August!A11</f>
        <v>2</v>
      </c>
      <c r="B4" s="67" t="str">
        <f>August!B11</f>
        <v>on</v>
      </c>
      <c r="C4" s="129" t="str">
        <f>August!C11</f>
        <v>Feriedag</v>
      </c>
      <c r="D4" s="622" t="str">
        <f>August!D11</f>
        <v/>
      </c>
      <c r="E4" s="621">
        <f>September!A10</f>
        <v>2</v>
      </c>
      <c r="F4" s="67" t="str">
        <f>September!B10</f>
        <v>lø</v>
      </c>
      <c r="G4" s="129" t="str">
        <f>September!C10</f>
        <v>Weekend</v>
      </c>
      <c r="H4" s="622" t="str">
        <f>September!D10</f>
        <v/>
      </c>
      <c r="I4" s="621">
        <f>Oktober!A10</f>
        <v>2</v>
      </c>
      <c r="J4" s="67" t="str">
        <f>Oktober!B10</f>
        <v>ma</v>
      </c>
      <c r="K4" s="129" t="str">
        <f>Oktober!C10</f>
        <v>Skema 1</v>
      </c>
      <c r="L4" s="622">
        <f>Oktober!D10</f>
        <v>40.142857142857146</v>
      </c>
      <c r="M4" s="621">
        <f>November!A10</f>
        <v>2</v>
      </c>
      <c r="N4" s="67" t="str">
        <f>November!B10</f>
        <v>to</v>
      </c>
      <c r="O4" s="129" t="str">
        <f>November!C10</f>
        <v>Skema 1</v>
      </c>
      <c r="P4" s="622" t="str">
        <f>November!D10</f>
        <v/>
      </c>
      <c r="Q4" s="621">
        <f>December!A10</f>
        <v>2</v>
      </c>
      <c r="R4" s="67" t="str">
        <f>December!B10</f>
        <v>lø</v>
      </c>
      <c r="S4" s="129" t="str">
        <f>December!C10</f>
        <v>Weekend</v>
      </c>
      <c r="T4" s="622" t="str">
        <f>December!D10</f>
        <v/>
      </c>
      <c r="U4" s="67">
        <f>Januar!A10</f>
        <v>2</v>
      </c>
      <c r="V4" s="67" t="str">
        <f>Januar!B10</f>
        <v>ti</v>
      </c>
      <c r="W4" s="129" t="str">
        <f>Januar!C10</f>
        <v>Nul-dag</v>
      </c>
      <c r="X4" s="130" t="str">
        <f>Januar!D10</f>
        <v/>
      </c>
      <c r="Y4" s="621">
        <f>Februar!A10</f>
        <v>2</v>
      </c>
      <c r="Z4" s="67" t="str">
        <f>Februar!B10</f>
        <v>fr</v>
      </c>
      <c r="AA4" s="129" t="str">
        <f>Februar!C10</f>
        <v>Skema 1</v>
      </c>
      <c r="AB4" s="622" t="str">
        <f>Februar!D10</f>
        <v/>
      </c>
      <c r="AC4" s="67">
        <f>Marts!A10</f>
        <v>2</v>
      </c>
      <c r="AD4" s="67" t="str">
        <f>Marts!B10</f>
        <v>lø</v>
      </c>
      <c r="AE4" s="129" t="str">
        <f>Marts!C10</f>
        <v>Weekend</v>
      </c>
      <c r="AF4" s="130" t="str">
        <f>Marts!D10</f>
        <v/>
      </c>
      <c r="AG4" s="621">
        <f>April!A10</f>
        <v>2</v>
      </c>
      <c r="AH4" s="67" t="str">
        <f>April!B10</f>
        <v>ti</v>
      </c>
      <c r="AI4" s="129" t="str">
        <f>April!C10</f>
        <v>Skema 1</v>
      </c>
      <c r="AJ4" s="622" t="str">
        <f>April!D10</f>
        <v/>
      </c>
      <c r="AK4" s="629">
        <f>Maj!A10</f>
        <v>2</v>
      </c>
      <c r="AL4" s="630" t="str">
        <f>Maj!B10</f>
        <v>to</v>
      </c>
      <c r="AM4" s="129" t="str">
        <f>Maj!C10</f>
        <v>Skema 1</v>
      </c>
      <c r="AN4" s="631" t="str">
        <f>Maj!D10</f>
        <v/>
      </c>
      <c r="AO4" s="629">
        <f>Juni!A10</f>
        <v>2</v>
      </c>
      <c r="AP4" s="630" t="str">
        <f>Juni!B10</f>
        <v>sø</v>
      </c>
      <c r="AQ4" s="129" t="str">
        <f>Juni!C10</f>
        <v>Weekend</v>
      </c>
      <c r="AR4" s="631" t="str">
        <f>Juni!D10</f>
        <v/>
      </c>
      <c r="AS4" s="629">
        <f>Juli!A10</f>
        <v>2</v>
      </c>
      <c r="AT4" s="630" t="str">
        <f>Juli!B10</f>
        <v>ti</v>
      </c>
      <c r="AU4" s="129" t="str">
        <f>Juli!C10</f>
        <v>Nul-dag</v>
      </c>
      <c r="AV4" s="631" t="str">
        <f>Juli!D10</f>
        <v/>
      </c>
    </row>
    <row r="5" spans="1:48" ht="24" customHeight="1">
      <c r="A5" s="621">
        <f>August!A12</f>
        <v>3</v>
      </c>
      <c r="B5" s="67" t="str">
        <f>August!B12</f>
        <v>to</v>
      </c>
      <c r="C5" s="129" t="str">
        <f>August!C12</f>
        <v>Nul-dag</v>
      </c>
      <c r="D5" s="622" t="str">
        <f>August!D12</f>
        <v/>
      </c>
      <c r="E5" s="621">
        <f>September!A11</f>
        <v>3</v>
      </c>
      <c r="F5" s="67" t="str">
        <f>September!B11</f>
        <v>sø</v>
      </c>
      <c r="G5" s="129" t="str">
        <f>September!C11</f>
        <v>Weekend</v>
      </c>
      <c r="H5" s="622" t="str">
        <f>September!D11</f>
        <v/>
      </c>
      <c r="I5" s="621">
        <f>Oktober!A11</f>
        <v>3</v>
      </c>
      <c r="J5" s="67" t="str">
        <f>Oktober!B11</f>
        <v>ti</v>
      </c>
      <c r="K5" s="129" t="str">
        <f>Oktober!C11</f>
        <v>Skema 1</v>
      </c>
      <c r="L5" s="622" t="str">
        <f>Oktober!D11</f>
        <v/>
      </c>
      <c r="M5" s="621">
        <f>November!A11</f>
        <v>3</v>
      </c>
      <c r="N5" s="67" t="str">
        <f>November!B11</f>
        <v>fr</v>
      </c>
      <c r="O5" s="129" t="str">
        <f>November!C11</f>
        <v>Skema 1</v>
      </c>
      <c r="P5" s="622" t="str">
        <f>November!D11</f>
        <v/>
      </c>
      <c r="Q5" s="621">
        <f>December!A11</f>
        <v>3</v>
      </c>
      <c r="R5" s="67" t="str">
        <f>December!B11</f>
        <v>sø</v>
      </c>
      <c r="S5" s="129" t="str">
        <f>December!C11</f>
        <v>Weekend</v>
      </c>
      <c r="T5" s="622" t="str">
        <f>December!D11</f>
        <v/>
      </c>
      <c r="U5" s="67">
        <f>Januar!A11</f>
        <v>3</v>
      </c>
      <c r="V5" s="67" t="str">
        <f>Januar!B11</f>
        <v>on</v>
      </c>
      <c r="W5" s="129" t="str">
        <f>Januar!C11</f>
        <v>Nul-dag</v>
      </c>
      <c r="X5" s="130" t="str">
        <f>Januar!D11</f>
        <v/>
      </c>
      <c r="Y5" s="621">
        <f>Februar!A11</f>
        <v>3</v>
      </c>
      <c r="Z5" s="67" t="str">
        <f>Februar!B11</f>
        <v>lø</v>
      </c>
      <c r="AA5" s="129" t="str">
        <f>Februar!C11</f>
        <v>Weekend</v>
      </c>
      <c r="AB5" s="622" t="str">
        <f>Februar!D11</f>
        <v/>
      </c>
      <c r="AC5" s="67">
        <f>Marts!A11</f>
        <v>3</v>
      </c>
      <c r="AD5" s="67" t="str">
        <f>Marts!B11</f>
        <v>sø</v>
      </c>
      <c r="AE5" s="129" t="str">
        <f>Marts!C11</f>
        <v>Weekend</v>
      </c>
      <c r="AF5" s="130" t="str">
        <f>Marts!D11</f>
        <v/>
      </c>
      <c r="AG5" s="621">
        <f>April!A11</f>
        <v>3</v>
      </c>
      <c r="AH5" s="67" t="str">
        <f>April!B11</f>
        <v>on</v>
      </c>
      <c r="AI5" s="129" t="str">
        <f>April!C11</f>
        <v>Skema 1</v>
      </c>
      <c r="AJ5" s="622" t="str">
        <f>April!D11</f>
        <v/>
      </c>
      <c r="AK5" s="629">
        <f>Maj!A11</f>
        <v>3</v>
      </c>
      <c r="AL5" s="630" t="str">
        <f>Maj!B11</f>
        <v>fr</v>
      </c>
      <c r="AM5" s="129" t="str">
        <f>Maj!C11</f>
        <v>Skema 1</v>
      </c>
      <c r="AN5" s="631" t="str">
        <f>Maj!D11</f>
        <v/>
      </c>
      <c r="AO5" s="629">
        <f>Juni!A11</f>
        <v>3</v>
      </c>
      <c r="AP5" s="630" t="str">
        <f>Juni!B11</f>
        <v>ma</v>
      </c>
      <c r="AQ5" s="129" t="str">
        <f>Juni!C11</f>
        <v>Skema 1</v>
      </c>
      <c r="AR5" s="631">
        <f>Juni!D11</f>
        <v>23</v>
      </c>
      <c r="AS5" s="629">
        <f>Juli!A11</f>
        <v>3</v>
      </c>
      <c r="AT5" s="630" t="str">
        <f>Juli!B11</f>
        <v>on</v>
      </c>
      <c r="AU5" s="129" t="str">
        <f>Juli!C11</f>
        <v>Nul-dag</v>
      </c>
      <c r="AV5" s="631" t="str">
        <f>Juli!D11</f>
        <v/>
      </c>
    </row>
    <row r="6" spans="1:48" ht="24" customHeight="1">
      <c r="A6" s="621">
        <f>August!A13</f>
        <v>4</v>
      </c>
      <c r="B6" s="67" t="str">
        <f>August!B13</f>
        <v>fr</v>
      </c>
      <c r="C6" s="129" t="str">
        <f>August!C13</f>
        <v>Nul-dag</v>
      </c>
      <c r="D6" s="622" t="str">
        <f>August!D13</f>
        <v/>
      </c>
      <c r="E6" s="621">
        <f>September!A12</f>
        <v>4</v>
      </c>
      <c r="F6" s="67" t="str">
        <f>September!B12</f>
        <v>ma</v>
      </c>
      <c r="G6" s="129" t="str">
        <f>September!C12</f>
        <v>Skema 1</v>
      </c>
      <c r="H6" s="622">
        <f>September!D12</f>
        <v>36.142857142857146</v>
      </c>
      <c r="I6" s="621">
        <f>Oktober!A12</f>
        <v>4</v>
      </c>
      <c r="J6" s="67" t="str">
        <f>Oktober!B12</f>
        <v>on</v>
      </c>
      <c r="K6" s="129" t="str">
        <f>Oktober!C12</f>
        <v>Skema 1</v>
      </c>
      <c r="L6" s="622" t="str">
        <f>Oktober!D12</f>
        <v/>
      </c>
      <c r="M6" s="621">
        <f>November!A12</f>
        <v>4</v>
      </c>
      <c r="N6" s="67" t="str">
        <f>November!B12</f>
        <v>lø</v>
      </c>
      <c r="O6" s="129" t="str">
        <f>November!C12</f>
        <v>Weekend</v>
      </c>
      <c r="P6" s="622" t="str">
        <f>November!D12</f>
        <v/>
      </c>
      <c r="Q6" s="621">
        <f>December!A12</f>
        <v>4</v>
      </c>
      <c r="R6" s="67" t="str">
        <f>December!B12</f>
        <v>ma</v>
      </c>
      <c r="S6" s="129" t="str">
        <f>December!C12</f>
        <v>Skema 1</v>
      </c>
      <c r="T6" s="622">
        <f>December!D12</f>
        <v>49.142857142857146</v>
      </c>
      <c r="U6" s="67">
        <f>Januar!A12</f>
        <v>4</v>
      </c>
      <c r="V6" s="67" t="str">
        <f>Januar!B12</f>
        <v>to</v>
      </c>
      <c r="W6" s="129" t="str">
        <f>Januar!C12</f>
        <v>Skema 1</v>
      </c>
      <c r="X6" s="130" t="str">
        <f>Januar!D12</f>
        <v/>
      </c>
      <c r="Y6" s="621">
        <f>Februar!A12</f>
        <v>4</v>
      </c>
      <c r="Z6" s="67" t="str">
        <f>Februar!B12</f>
        <v>sø</v>
      </c>
      <c r="AA6" s="129" t="str">
        <f>Februar!C12</f>
        <v>Weekend</v>
      </c>
      <c r="AB6" s="622" t="str">
        <f>Februar!D12</f>
        <v/>
      </c>
      <c r="AC6" s="67">
        <f>Marts!A12</f>
        <v>4</v>
      </c>
      <c r="AD6" s="67" t="str">
        <f>Marts!B12</f>
        <v>ma</v>
      </c>
      <c r="AE6" s="129" t="str">
        <f>Marts!C12</f>
        <v>Skema 1</v>
      </c>
      <c r="AF6" s="130">
        <f>Marts!D12</f>
        <v>10</v>
      </c>
      <c r="AG6" s="621">
        <f>April!A12</f>
        <v>4</v>
      </c>
      <c r="AH6" s="67" t="str">
        <f>April!B12</f>
        <v>to</v>
      </c>
      <c r="AI6" s="129" t="str">
        <f>April!C12</f>
        <v>Skema 1</v>
      </c>
      <c r="AJ6" s="622" t="str">
        <f>April!D12</f>
        <v/>
      </c>
      <c r="AK6" s="629">
        <f>Maj!A12</f>
        <v>4</v>
      </c>
      <c r="AL6" s="630" t="str">
        <f>Maj!B12</f>
        <v>lø</v>
      </c>
      <c r="AM6" s="129" t="str">
        <f>Maj!C12</f>
        <v>Weekend</v>
      </c>
      <c r="AN6" s="631" t="str">
        <f>Maj!D12</f>
        <v/>
      </c>
      <c r="AO6" s="629">
        <f>Juni!A12</f>
        <v>4</v>
      </c>
      <c r="AP6" s="630" t="str">
        <f>Juni!B12</f>
        <v>ti</v>
      </c>
      <c r="AQ6" s="129" t="str">
        <f>Juni!C12</f>
        <v>Skema 1</v>
      </c>
      <c r="AR6" s="631" t="str">
        <f>Juni!D12</f>
        <v/>
      </c>
      <c r="AS6" s="629">
        <f>Juli!A12</f>
        <v>4</v>
      </c>
      <c r="AT6" s="630" t="str">
        <f>Juli!B12</f>
        <v>to</v>
      </c>
      <c r="AU6" s="129" t="str">
        <f>Juli!C12</f>
        <v>Nul-dag</v>
      </c>
      <c r="AV6" s="631" t="str">
        <f>Juli!D12</f>
        <v/>
      </c>
    </row>
    <row r="7" spans="1:48" ht="24" customHeight="1">
      <c r="A7" s="621">
        <f>August!A14</f>
        <v>5</v>
      </c>
      <c r="B7" s="67" t="str">
        <f>August!B14</f>
        <v>lø</v>
      </c>
      <c r="C7" s="129" t="str">
        <f>August!C14</f>
        <v>Weekend</v>
      </c>
      <c r="D7" s="622" t="str">
        <f>August!D14</f>
        <v/>
      </c>
      <c r="E7" s="621">
        <f>September!A13</f>
        <v>5</v>
      </c>
      <c r="F7" s="67" t="str">
        <f>September!B13</f>
        <v>ti</v>
      </c>
      <c r="G7" s="129" t="str">
        <f>September!C13</f>
        <v>Skema 1</v>
      </c>
      <c r="H7" s="622" t="str">
        <f>September!D13</f>
        <v/>
      </c>
      <c r="I7" s="621">
        <f>Oktober!A13</f>
        <v>5</v>
      </c>
      <c r="J7" s="67" t="str">
        <f>Oktober!B13</f>
        <v>to</v>
      </c>
      <c r="K7" s="129" t="str">
        <f>Oktober!C13</f>
        <v>Skema 1</v>
      </c>
      <c r="L7" s="622" t="str">
        <f>Oktober!D13</f>
        <v/>
      </c>
      <c r="M7" s="621">
        <f>November!A13</f>
        <v>5</v>
      </c>
      <c r="N7" s="67" t="str">
        <f>November!B13</f>
        <v>sø</v>
      </c>
      <c r="O7" s="129" t="str">
        <f>November!C13</f>
        <v>Weekend</v>
      </c>
      <c r="P7" s="622" t="str">
        <f>November!D13</f>
        <v/>
      </c>
      <c r="Q7" s="621">
        <f>December!A13</f>
        <v>5</v>
      </c>
      <c r="R7" s="67" t="str">
        <f>December!B13</f>
        <v>ti</v>
      </c>
      <c r="S7" s="129" t="str">
        <f>December!C13</f>
        <v>Skema 1</v>
      </c>
      <c r="T7" s="622" t="str">
        <f>December!D13</f>
        <v/>
      </c>
      <c r="U7" s="67">
        <f>Januar!A13</f>
        <v>5</v>
      </c>
      <c r="V7" s="67" t="str">
        <f>Januar!B13</f>
        <v>fr</v>
      </c>
      <c r="W7" s="129" t="str">
        <f>Januar!C13</f>
        <v>Skema 1</v>
      </c>
      <c r="X7" s="130" t="str">
        <f>Januar!D13</f>
        <v/>
      </c>
      <c r="Y7" s="621">
        <f>Februar!A13</f>
        <v>5</v>
      </c>
      <c r="Z7" s="67" t="str">
        <f>Februar!B13</f>
        <v>ma</v>
      </c>
      <c r="AA7" s="129" t="str">
        <f>Februar!C13</f>
        <v>Skema 1</v>
      </c>
      <c r="AB7" s="622">
        <f>Februar!D13</f>
        <v>6</v>
      </c>
      <c r="AC7" s="67">
        <f>Marts!A13</f>
        <v>5</v>
      </c>
      <c r="AD7" s="67" t="str">
        <f>Marts!B13</f>
        <v>ti</v>
      </c>
      <c r="AE7" s="129" t="str">
        <f>Marts!C13</f>
        <v>Skema 1</v>
      </c>
      <c r="AF7" s="130" t="str">
        <f>Marts!D13</f>
        <v/>
      </c>
      <c r="AG7" s="621">
        <f>April!A13</f>
        <v>5</v>
      </c>
      <c r="AH7" s="67" t="str">
        <f>April!B13</f>
        <v>fr</v>
      </c>
      <c r="AI7" s="129" t="str">
        <f>April!C13</f>
        <v>Skema 1</v>
      </c>
      <c r="AJ7" s="622" t="str">
        <f>April!D13</f>
        <v/>
      </c>
      <c r="AK7" s="629">
        <f>Maj!A13</f>
        <v>5</v>
      </c>
      <c r="AL7" s="630" t="str">
        <f>Maj!B13</f>
        <v>sø</v>
      </c>
      <c r="AM7" s="129" t="str">
        <f>Maj!C13</f>
        <v>Weekend</v>
      </c>
      <c r="AN7" s="631" t="str">
        <f>Maj!D13</f>
        <v/>
      </c>
      <c r="AO7" s="629">
        <f>Juni!A13</f>
        <v>5</v>
      </c>
      <c r="AP7" s="630" t="str">
        <f>Juni!B13</f>
        <v>on</v>
      </c>
      <c r="AQ7" s="129" t="str">
        <f>Juni!C13</f>
        <v>Skema 1</v>
      </c>
      <c r="AR7" s="631" t="str">
        <f>Juni!D13</f>
        <v/>
      </c>
      <c r="AS7" s="629">
        <f>Juli!A13</f>
        <v>5</v>
      </c>
      <c r="AT7" s="630" t="str">
        <f>Juli!B13</f>
        <v>fr</v>
      </c>
      <c r="AU7" s="129" t="str">
        <f>Juli!C13</f>
        <v>Nul-dag</v>
      </c>
      <c r="AV7" s="631" t="str">
        <f>Juli!D13</f>
        <v/>
      </c>
    </row>
    <row r="8" spans="1:48" ht="24" customHeight="1">
      <c r="A8" s="621">
        <f>August!A15</f>
        <v>6</v>
      </c>
      <c r="B8" s="67" t="str">
        <f>August!B15</f>
        <v>sø</v>
      </c>
      <c r="C8" s="129" t="str">
        <f>August!C15</f>
        <v>Weekend</v>
      </c>
      <c r="D8" s="622" t="str">
        <f>August!D15</f>
        <v/>
      </c>
      <c r="E8" s="621">
        <f>September!A14</f>
        <v>6</v>
      </c>
      <c r="F8" s="67" t="str">
        <f>September!B14</f>
        <v>on</v>
      </c>
      <c r="G8" s="129" t="str">
        <f>September!C14</f>
        <v>Skema 1</v>
      </c>
      <c r="H8" s="622" t="str">
        <f>September!D14</f>
        <v/>
      </c>
      <c r="I8" s="621">
        <f>Oktober!A14</f>
        <v>6</v>
      </c>
      <c r="J8" s="67" t="str">
        <f>Oktober!B14</f>
        <v>fr</v>
      </c>
      <c r="K8" s="129" t="str">
        <f>Oktober!C14</f>
        <v>Skema 1</v>
      </c>
      <c r="L8" s="622" t="str">
        <f>Oktober!D14</f>
        <v/>
      </c>
      <c r="M8" s="621">
        <f>November!A14</f>
        <v>6</v>
      </c>
      <c r="N8" s="67" t="str">
        <f>November!B14</f>
        <v>ma</v>
      </c>
      <c r="O8" s="129" t="str">
        <f>November!C14</f>
        <v>Skema 1</v>
      </c>
      <c r="P8" s="622">
        <f>November!D14</f>
        <v>45.142857142857146</v>
      </c>
      <c r="Q8" s="621">
        <f>December!A14</f>
        <v>6</v>
      </c>
      <c r="R8" s="67" t="str">
        <f>December!B14</f>
        <v>on</v>
      </c>
      <c r="S8" s="129" t="str">
        <f>December!C14</f>
        <v>Skema 1</v>
      </c>
      <c r="T8" s="622" t="str">
        <f>December!D14</f>
        <v/>
      </c>
      <c r="U8" s="67">
        <f>Januar!A14</f>
        <v>6</v>
      </c>
      <c r="V8" s="67" t="str">
        <f>Januar!B14</f>
        <v>lø</v>
      </c>
      <c r="W8" s="129" t="str">
        <f>Januar!C14</f>
        <v>Weekend</v>
      </c>
      <c r="X8" s="130" t="str">
        <f>Januar!D14</f>
        <v/>
      </c>
      <c r="Y8" s="621">
        <f>Februar!A14</f>
        <v>6</v>
      </c>
      <c r="Z8" s="67" t="str">
        <f>Februar!B14</f>
        <v>ti</v>
      </c>
      <c r="AA8" s="129" t="str">
        <f>Februar!C14</f>
        <v>Skema 1</v>
      </c>
      <c r="AB8" s="622" t="str">
        <f>Februar!D14</f>
        <v/>
      </c>
      <c r="AC8" s="67">
        <f>Marts!A14</f>
        <v>6</v>
      </c>
      <c r="AD8" s="67" t="str">
        <f>Marts!B14</f>
        <v>on</v>
      </c>
      <c r="AE8" s="129" t="str">
        <f>Marts!C14</f>
        <v>Skema 1</v>
      </c>
      <c r="AF8" s="130" t="str">
        <f>Marts!D14</f>
        <v/>
      </c>
      <c r="AG8" s="621">
        <f>April!A14</f>
        <v>6</v>
      </c>
      <c r="AH8" s="67" t="str">
        <f>April!B14</f>
        <v>lø</v>
      </c>
      <c r="AI8" s="129" t="str">
        <f>April!C14</f>
        <v>Weekend</v>
      </c>
      <c r="AJ8" s="622" t="str">
        <f>April!D14</f>
        <v/>
      </c>
      <c r="AK8" s="629">
        <f>Maj!A14</f>
        <v>6</v>
      </c>
      <c r="AL8" s="630" t="str">
        <f>Maj!B14</f>
        <v>ma</v>
      </c>
      <c r="AM8" s="129" t="str">
        <f>Maj!C14</f>
        <v>Skema 1</v>
      </c>
      <c r="AN8" s="631">
        <f>Maj!D14</f>
        <v>19</v>
      </c>
      <c r="AO8" s="629">
        <f>Juni!A14</f>
        <v>6</v>
      </c>
      <c r="AP8" s="630" t="str">
        <f>Juni!B14</f>
        <v>to</v>
      </c>
      <c r="AQ8" s="129" t="str">
        <f>Juni!C14</f>
        <v>Skema 1</v>
      </c>
      <c r="AR8" s="631" t="str">
        <f>Juni!D14</f>
        <v/>
      </c>
      <c r="AS8" s="629">
        <f>Juli!A14</f>
        <v>6</v>
      </c>
      <c r="AT8" s="630" t="str">
        <f>Juli!B14</f>
        <v>lø</v>
      </c>
      <c r="AU8" s="129" t="str">
        <f>Juli!C14</f>
        <v>Weekend</v>
      </c>
      <c r="AV8" s="631" t="str">
        <f>Juli!D14</f>
        <v/>
      </c>
    </row>
    <row r="9" spans="1:48" ht="24" customHeight="1">
      <c r="A9" s="621">
        <f>August!A16</f>
        <v>7</v>
      </c>
      <c r="B9" s="67" t="str">
        <f>August!B16</f>
        <v>ma</v>
      </c>
      <c r="C9" s="129" t="str">
        <f>August!C16</f>
        <v>Nul-dag</v>
      </c>
      <c r="D9" s="622">
        <f>August!D16</f>
        <v>32.142857142857146</v>
      </c>
      <c r="E9" s="621">
        <f>September!A15</f>
        <v>7</v>
      </c>
      <c r="F9" s="67" t="str">
        <f>September!B15</f>
        <v>to</v>
      </c>
      <c r="G9" s="129" t="str">
        <f>September!C15</f>
        <v>Skema 1</v>
      </c>
      <c r="H9" s="622" t="str">
        <f>September!D15</f>
        <v/>
      </c>
      <c r="I9" s="621">
        <f>Oktober!A15</f>
        <v>7</v>
      </c>
      <c r="J9" s="67" t="str">
        <f>Oktober!B15</f>
        <v>lø</v>
      </c>
      <c r="K9" s="129" t="str">
        <f>Oktober!C15</f>
        <v>Weekend</v>
      </c>
      <c r="L9" s="622" t="str">
        <f>Oktober!D15</f>
        <v/>
      </c>
      <c r="M9" s="621">
        <f>November!A15</f>
        <v>7</v>
      </c>
      <c r="N9" s="67" t="str">
        <f>November!B15</f>
        <v>ti</v>
      </c>
      <c r="O9" s="129" t="str">
        <f>November!C15</f>
        <v>Skema 1</v>
      </c>
      <c r="P9" s="622" t="str">
        <f>November!D15</f>
        <v/>
      </c>
      <c r="Q9" s="621">
        <f>December!A15</f>
        <v>7</v>
      </c>
      <c r="R9" s="67" t="str">
        <f>December!B15</f>
        <v>to</v>
      </c>
      <c r="S9" s="129" t="str">
        <f>December!C15</f>
        <v>Skema 1</v>
      </c>
      <c r="T9" s="622" t="str">
        <f>December!D15</f>
        <v/>
      </c>
      <c r="U9" s="67">
        <f>Januar!A15</f>
        <v>7</v>
      </c>
      <c r="V9" s="67" t="str">
        <f>Januar!B15</f>
        <v>sø</v>
      </c>
      <c r="W9" s="129" t="str">
        <f>Januar!C15</f>
        <v>Weekend</v>
      </c>
      <c r="X9" s="130" t="str">
        <f>Januar!D15</f>
        <v/>
      </c>
      <c r="Y9" s="621">
        <f>Februar!A15</f>
        <v>7</v>
      </c>
      <c r="Z9" s="67" t="str">
        <f>Februar!B15</f>
        <v>on</v>
      </c>
      <c r="AA9" s="129" t="str">
        <f>Februar!C15</f>
        <v>Skema 1</v>
      </c>
      <c r="AB9" s="622" t="str">
        <f>Februar!D15</f>
        <v/>
      </c>
      <c r="AC9" s="67">
        <f>Marts!A15</f>
        <v>7</v>
      </c>
      <c r="AD9" s="67" t="str">
        <f>Marts!B15</f>
        <v>to</v>
      </c>
      <c r="AE9" s="129" t="str">
        <f>Marts!C15</f>
        <v>Skema 1</v>
      </c>
      <c r="AF9" s="130" t="str">
        <f>Marts!D15</f>
        <v/>
      </c>
      <c r="AG9" s="621">
        <f>April!A15</f>
        <v>7</v>
      </c>
      <c r="AH9" s="67" t="str">
        <f>April!B15</f>
        <v>sø</v>
      </c>
      <c r="AI9" s="129" t="str">
        <f>April!C15</f>
        <v>Weekend</v>
      </c>
      <c r="AJ9" s="622" t="str">
        <f>April!D15</f>
        <v/>
      </c>
      <c r="AK9" s="629">
        <f>Maj!A15</f>
        <v>7</v>
      </c>
      <c r="AL9" s="630" t="str">
        <f>Maj!B15</f>
        <v>ti</v>
      </c>
      <c r="AM9" s="129" t="str">
        <f>Maj!C15</f>
        <v>Skema 1</v>
      </c>
      <c r="AN9" s="631" t="str">
        <f>Maj!D15</f>
        <v/>
      </c>
      <c r="AO9" s="629">
        <f>Juni!A15</f>
        <v>7</v>
      </c>
      <c r="AP9" s="630" t="str">
        <f>Juni!B15</f>
        <v>fr</v>
      </c>
      <c r="AQ9" s="129" t="str">
        <f>Juni!C15</f>
        <v>Skema 1</v>
      </c>
      <c r="AR9" s="631" t="str">
        <f>Juni!D15</f>
        <v/>
      </c>
      <c r="AS9" s="629">
        <f>Juli!A15</f>
        <v>7</v>
      </c>
      <c r="AT9" s="630" t="str">
        <f>Juli!B15</f>
        <v>sø</v>
      </c>
      <c r="AU9" s="129" t="str">
        <f>Juli!C15</f>
        <v>Weekend</v>
      </c>
      <c r="AV9" s="631" t="str">
        <f>Juli!D15</f>
        <v/>
      </c>
    </row>
    <row r="10" spans="1:48" ht="24" customHeight="1">
      <c r="A10" s="621">
        <f>August!A17</f>
        <v>8</v>
      </c>
      <c r="B10" s="67" t="str">
        <f>August!B17</f>
        <v>ti</v>
      </c>
      <c r="C10" s="129" t="str">
        <f>August!C17</f>
        <v>Nul-dag</v>
      </c>
      <c r="D10" s="622" t="str">
        <f>August!D17</f>
        <v/>
      </c>
      <c r="E10" s="621">
        <f>September!A16</f>
        <v>8</v>
      </c>
      <c r="F10" s="67" t="str">
        <f>September!B16</f>
        <v>fr</v>
      </c>
      <c r="G10" s="129" t="str">
        <f>September!C16</f>
        <v>Skema 1</v>
      </c>
      <c r="H10" s="622" t="str">
        <f>September!D16</f>
        <v/>
      </c>
      <c r="I10" s="621">
        <f>Oktober!A16</f>
        <v>8</v>
      </c>
      <c r="J10" s="67" t="str">
        <f>Oktober!B16</f>
        <v>sø</v>
      </c>
      <c r="K10" s="129" t="str">
        <f>Oktober!C16</f>
        <v>Weekend</v>
      </c>
      <c r="L10" s="622" t="str">
        <f>Oktober!D16</f>
        <v/>
      </c>
      <c r="M10" s="621">
        <f>November!A16</f>
        <v>8</v>
      </c>
      <c r="N10" s="67" t="str">
        <f>November!B16</f>
        <v>on</v>
      </c>
      <c r="O10" s="129" t="str">
        <f>November!C16</f>
        <v>Skema 1</v>
      </c>
      <c r="P10" s="622" t="str">
        <f>November!D16</f>
        <v/>
      </c>
      <c r="Q10" s="621">
        <f>December!A16</f>
        <v>8</v>
      </c>
      <c r="R10" s="67" t="str">
        <f>December!B16</f>
        <v>fr</v>
      </c>
      <c r="S10" s="129" t="str">
        <f>December!C16</f>
        <v>Skema 1</v>
      </c>
      <c r="T10" s="622" t="str">
        <f>December!D16</f>
        <v/>
      </c>
      <c r="U10" s="67">
        <f>Januar!A16</f>
        <v>8</v>
      </c>
      <c r="V10" s="67" t="str">
        <f>Januar!B16</f>
        <v>ma</v>
      </c>
      <c r="W10" s="129" t="str">
        <f>Januar!C16</f>
        <v>Skema 1</v>
      </c>
      <c r="X10" s="130">
        <f>Januar!D16</f>
        <v>2</v>
      </c>
      <c r="Y10" s="621">
        <f>Februar!A16</f>
        <v>8</v>
      </c>
      <c r="Z10" s="67" t="str">
        <f>Februar!B16</f>
        <v>to</v>
      </c>
      <c r="AA10" s="129" t="str">
        <f>Februar!C16</f>
        <v>Skema 1</v>
      </c>
      <c r="AB10" s="622" t="str">
        <f>Februar!D16</f>
        <v/>
      </c>
      <c r="AC10" s="67">
        <f>Marts!A16</f>
        <v>8</v>
      </c>
      <c r="AD10" s="67" t="str">
        <f>Marts!B16</f>
        <v>fr</v>
      </c>
      <c r="AE10" s="129" t="str">
        <f>Marts!C16</f>
        <v>Skema 1</v>
      </c>
      <c r="AF10" s="130" t="str">
        <f>Marts!D16</f>
        <v/>
      </c>
      <c r="AG10" s="621">
        <f>April!A16</f>
        <v>8</v>
      </c>
      <c r="AH10" s="67" t="str">
        <f>April!B16</f>
        <v>ma</v>
      </c>
      <c r="AI10" s="129" t="str">
        <f>April!C16</f>
        <v>Skema 1</v>
      </c>
      <c r="AJ10" s="622">
        <f>April!D16</f>
        <v>15</v>
      </c>
      <c r="AK10" s="629">
        <f>Maj!A16</f>
        <v>8</v>
      </c>
      <c r="AL10" s="630" t="str">
        <f>Maj!B16</f>
        <v>on</v>
      </c>
      <c r="AM10" s="129" t="str">
        <f>Maj!C16</f>
        <v>Skema 1</v>
      </c>
      <c r="AN10" s="631" t="str">
        <f>Maj!D16</f>
        <v/>
      </c>
      <c r="AO10" s="629">
        <f>Juni!A16</f>
        <v>8</v>
      </c>
      <c r="AP10" s="630" t="str">
        <f>Juni!B16</f>
        <v>lø</v>
      </c>
      <c r="AQ10" s="129" t="str">
        <f>Juni!C16</f>
        <v>Weekend</v>
      </c>
      <c r="AR10" s="631" t="str">
        <f>Juni!D16</f>
        <v/>
      </c>
      <c r="AS10" s="629">
        <f>Juli!A16</f>
        <v>8</v>
      </c>
      <c r="AT10" s="630" t="str">
        <f>Juli!B16</f>
        <v>ma</v>
      </c>
      <c r="AU10" s="129" t="str">
        <f>Juli!C16</f>
        <v>Feriedag</v>
      </c>
      <c r="AV10" s="631">
        <f>Juli!D16</f>
        <v>28</v>
      </c>
    </row>
    <row r="11" spans="1:48" ht="24" customHeight="1">
      <c r="A11" s="621">
        <f>August!A18</f>
        <v>9</v>
      </c>
      <c r="B11" s="67" t="str">
        <f>August!B18</f>
        <v>on</v>
      </c>
      <c r="C11" s="129" t="str">
        <f>August!C18</f>
        <v>Nul-dag</v>
      </c>
      <c r="D11" s="622" t="str">
        <f>August!D18</f>
        <v/>
      </c>
      <c r="E11" s="621">
        <f>September!A17</f>
        <v>9</v>
      </c>
      <c r="F11" s="67" t="str">
        <f>September!B17</f>
        <v>lø</v>
      </c>
      <c r="G11" s="129" t="str">
        <f>September!C17</f>
        <v>Weekend</v>
      </c>
      <c r="H11" s="622" t="str">
        <f>September!D17</f>
        <v/>
      </c>
      <c r="I11" s="621">
        <f>Oktober!A17</f>
        <v>9</v>
      </c>
      <c r="J11" s="67" t="str">
        <f>Oktober!B17</f>
        <v>ma</v>
      </c>
      <c r="K11" s="129" t="str">
        <f>Oktober!C17</f>
        <v>Skema 1</v>
      </c>
      <c r="L11" s="622">
        <f>Oktober!D17</f>
        <v>41.142857142857146</v>
      </c>
      <c r="M11" s="621">
        <f>November!A17</f>
        <v>9</v>
      </c>
      <c r="N11" s="67" t="str">
        <f>November!B17</f>
        <v>to</v>
      </c>
      <c r="O11" s="129" t="str">
        <f>November!C17</f>
        <v>Skema 1</v>
      </c>
      <c r="P11" s="622" t="str">
        <f>November!D17</f>
        <v/>
      </c>
      <c r="Q11" s="621">
        <f>December!A17</f>
        <v>9</v>
      </c>
      <c r="R11" s="67" t="str">
        <f>December!B17</f>
        <v>lø</v>
      </c>
      <c r="S11" s="129" t="str">
        <f>December!C17</f>
        <v>Weekend</v>
      </c>
      <c r="T11" s="622" t="str">
        <f>December!D17</f>
        <v/>
      </c>
      <c r="U11" s="67">
        <f>Januar!A17</f>
        <v>9</v>
      </c>
      <c r="V11" s="67" t="str">
        <f>Januar!B17</f>
        <v>ti</v>
      </c>
      <c r="W11" s="129" t="str">
        <f>Januar!C17</f>
        <v>Skema 1</v>
      </c>
      <c r="X11" s="130" t="str">
        <f>Januar!D17</f>
        <v/>
      </c>
      <c r="Y11" s="621">
        <f>Februar!A17</f>
        <v>9</v>
      </c>
      <c r="Z11" s="67" t="str">
        <f>Februar!B17</f>
        <v>fr</v>
      </c>
      <c r="AA11" s="129" t="str">
        <f>Februar!C17</f>
        <v>Skema 1</v>
      </c>
      <c r="AB11" s="622" t="str">
        <f>Februar!D17</f>
        <v/>
      </c>
      <c r="AC11" s="67">
        <f>Marts!A17</f>
        <v>9</v>
      </c>
      <c r="AD11" s="67" t="str">
        <f>Marts!B17</f>
        <v>lø</v>
      </c>
      <c r="AE11" s="129" t="str">
        <f>Marts!C17</f>
        <v>Weekend</v>
      </c>
      <c r="AF11" s="130" t="str">
        <f>Marts!D17</f>
        <v/>
      </c>
      <c r="AG11" s="621">
        <f>April!A17</f>
        <v>9</v>
      </c>
      <c r="AH11" s="67" t="str">
        <f>April!B17</f>
        <v>ti</v>
      </c>
      <c r="AI11" s="129" t="str">
        <f>April!C17</f>
        <v>Skema 1</v>
      </c>
      <c r="AJ11" s="622" t="str">
        <f>April!D17</f>
        <v/>
      </c>
      <c r="AK11" s="629">
        <f>Maj!A17</f>
        <v>9</v>
      </c>
      <c r="AL11" s="630" t="str">
        <f>Maj!B17</f>
        <v>to</v>
      </c>
      <c r="AM11" s="129" t="str">
        <f>Maj!C17</f>
        <v>SH-dag</v>
      </c>
      <c r="AN11" s="631" t="str">
        <f>Maj!D17</f>
        <v/>
      </c>
      <c r="AO11" s="629">
        <f>Juni!A17</f>
        <v>9</v>
      </c>
      <c r="AP11" s="630" t="str">
        <f>Juni!B17</f>
        <v>sø</v>
      </c>
      <c r="AQ11" s="129" t="str">
        <f>Juni!C17</f>
        <v>Weekend</v>
      </c>
      <c r="AR11" s="631" t="str">
        <f>Juni!D17</f>
        <v/>
      </c>
      <c r="AS11" s="629">
        <f>Juli!A17</f>
        <v>9</v>
      </c>
      <c r="AT11" s="630" t="str">
        <f>Juli!B17</f>
        <v>ti</v>
      </c>
      <c r="AU11" s="129" t="str">
        <f>Juli!C17</f>
        <v>Feriedag</v>
      </c>
      <c r="AV11" s="631" t="str">
        <f>Juli!D17</f>
        <v/>
      </c>
    </row>
    <row r="12" spans="1:48" ht="24" customHeight="1">
      <c r="A12" s="621">
        <f>August!A19</f>
        <v>10</v>
      </c>
      <c r="B12" s="67" t="str">
        <f>August!B19</f>
        <v>to</v>
      </c>
      <c r="C12" s="129" t="str">
        <f>August!C19</f>
        <v>Nul-dag</v>
      </c>
      <c r="D12" s="622" t="str">
        <f>August!D19</f>
        <v/>
      </c>
      <c r="E12" s="621">
        <f>September!A18</f>
        <v>10</v>
      </c>
      <c r="F12" s="67" t="str">
        <f>September!B18</f>
        <v>sø</v>
      </c>
      <c r="G12" s="129" t="str">
        <f>September!C18</f>
        <v>Weekend</v>
      </c>
      <c r="H12" s="622" t="str">
        <f>September!D18</f>
        <v/>
      </c>
      <c r="I12" s="621">
        <f>Oktober!A18</f>
        <v>10</v>
      </c>
      <c r="J12" s="67" t="str">
        <f>Oktober!B18</f>
        <v>ti</v>
      </c>
      <c r="K12" s="129" t="str">
        <f>Oktober!C18</f>
        <v>Skema 1</v>
      </c>
      <c r="L12" s="622" t="str">
        <f>Oktober!D18</f>
        <v/>
      </c>
      <c r="M12" s="621">
        <f>November!A18</f>
        <v>10</v>
      </c>
      <c r="N12" s="67" t="str">
        <f>November!B18</f>
        <v>fr</v>
      </c>
      <c r="O12" s="129" t="str">
        <f>November!C18</f>
        <v>Skema 1</v>
      </c>
      <c r="P12" s="622" t="str">
        <f>November!D18</f>
        <v/>
      </c>
      <c r="Q12" s="621">
        <f>December!A18</f>
        <v>10</v>
      </c>
      <c r="R12" s="67" t="str">
        <f>December!B18</f>
        <v>sø</v>
      </c>
      <c r="S12" s="129" t="str">
        <f>December!C18</f>
        <v>Weekend</v>
      </c>
      <c r="T12" s="622" t="str">
        <f>December!D18</f>
        <v/>
      </c>
      <c r="U12" s="67">
        <f>Januar!A18</f>
        <v>10</v>
      </c>
      <c r="V12" s="67" t="str">
        <f>Januar!B18</f>
        <v>on</v>
      </c>
      <c r="W12" s="129" t="str">
        <f>Januar!C18</f>
        <v>Skema 1</v>
      </c>
      <c r="X12" s="130" t="str">
        <f>Januar!D18</f>
        <v/>
      </c>
      <c r="Y12" s="621">
        <f>Februar!A18</f>
        <v>10</v>
      </c>
      <c r="Z12" s="67" t="str">
        <f>Februar!B18</f>
        <v>lø</v>
      </c>
      <c r="AA12" s="129" t="str">
        <f>Februar!C18</f>
        <v>Weekend</v>
      </c>
      <c r="AB12" s="622" t="str">
        <f>Februar!D18</f>
        <v/>
      </c>
      <c r="AC12" s="67">
        <f>Marts!A18</f>
        <v>10</v>
      </c>
      <c r="AD12" s="67" t="str">
        <f>Marts!B18</f>
        <v>sø</v>
      </c>
      <c r="AE12" s="129" t="str">
        <f>Marts!C18</f>
        <v>Weekend</v>
      </c>
      <c r="AF12" s="130" t="str">
        <f>Marts!D18</f>
        <v/>
      </c>
      <c r="AG12" s="621">
        <f>April!A18</f>
        <v>10</v>
      </c>
      <c r="AH12" s="67" t="str">
        <f>April!B18</f>
        <v>on</v>
      </c>
      <c r="AI12" s="129" t="str">
        <f>April!C18</f>
        <v>Skema 1</v>
      </c>
      <c r="AJ12" s="622" t="str">
        <f>April!D18</f>
        <v/>
      </c>
      <c r="AK12" s="629">
        <f>Maj!A18</f>
        <v>10</v>
      </c>
      <c r="AL12" s="630" t="str">
        <f>Maj!B18</f>
        <v>fr</v>
      </c>
      <c r="AM12" s="129" t="str">
        <f>Maj!C18</f>
        <v>Nul-dag</v>
      </c>
      <c r="AN12" s="631" t="str">
        <f>Maj!D18</f>
        <v/>
      </c>
      <c r="AO12" s="629">
        <f>Juni!A18</f>
        <v>10</v>
      </c>
      <c r="AP12" s="630" t="str">
        <f>Juni!B18</f>
        <v>ma</v>
      </c>
      <c r="AQ12" s="129" t="str">
        <f>Juni!C18</f>
        <v>Skema 1</v>
      </c>
      <c r="AR12" s="631">
        <f>Juni!D18</f>
        <v>24</v>
      </c>
      <c r="AS12" s="629">
        <f>Juli!A18</f>
        <v>10</v>
      </c>
      <c r="AT12" s="630" t="str">
        <f>Juli!B18</f>
        <v>on</v>
      </c>
      <c r="AU12" s="129" t="str">
        <f>Juli!C18</f>
        <v>Feriedag</v>
      </c>
      <c r="AV12" s="631" t="str">
        <f>Juli!D18</f>
        <v/>
      </c>
    </row>
    <row r="13" spans="1:48" ht="24" customHeight="1">
      <c r="A13" s="621">
        <f>August!A20</f>
        <v>11</v>
      </c>
      <c r="B13" s="67" t="str">
        <f>August!B20</f>
        <v>fr</v>
      </c>
      <c r="C13" s="129" t="str">
        <f>August!C20</f>
        <v>Nul-dag</v>
      </c>
      <c r="D13" s="622" t="str">
        <f>August!D20</f>
        <v/>
      </c>
      <c r="E13" s="621">
        <f>September!A19</f>
        <v>11</v>
      </c>
      <c r="F13" s="67" t="str">
        <f>September!B19</f>
        <v>ma</v>
      </c>
      <c r="G13" s="129" t="str">
        <f>September!C19</f>
        <v>Skema 1</v>
      </c>
      <c r="H13" s="622">
        <f>September!D19</f>
        <v>37.142857142857146</v>
      </c>
      <c r="I13" s="621">
        <f>Oktober!A19</f>
        <v>11</v>
      </c>
      <c r="J13" s="67" t="str">
        <f>Oktober!B19</f>
        <v>on</v>
      </c>
      <c r="K13" s="129" t="str">
        <f>Oktober!C19</f>
        <v>Skema 1</v>
      </c>
      <c r="L13" s="622" t="str">
        <f>Oktober!D19</f>
        <v/>
      </c>
      <c r="M13" s="621">
        <f>November!A19</f>
        <v>11</v>
      </c>
      <c r="N13" s="67" t="str">
        <f>November!B19</f>
        <v>lø</v>
      </c>
      <c r="O13" s="129" t="str">
        <f>November!C19</f>
        <v>Weekend</v>
      </c>
      <c r="P13" s="622" t="str">
        <f>November!D19</f>
        <v/>
      </c>
      <c r="Q13" s="621">
        <f>December!A19</f>
        <v>11</v>
      </c>
      <c r="R13" s="67" t="str">
        <f>December!B19</f>
        <v>ma</v>
      </c>
      <c r="S13" s="129" t="str">
        <f>December!C19</f>
        <v>Skema 1</v>
      </c>
      <c r="T13" s="622">
        <f>December!D19</f>
        <v>50.142857142857146</v>
      </c>
      <c r="U13" s="67">
        <f>Januar!A19</f>
        <v>11</v>
      </c>
      <c r="V13" s="67" t="str">
        <f>Januar!B19</f>
        <v>to</v>
      </c>
      <c r="W13" s="129" t="str">
        <f>Januar!C19</f>
        <v>Skema 1</v>
      </c>
      <c r="X13" s="130" t="str">
        <f>Januar!D19</f>
        <v/>
      </c>
      <c r="Y13" s="621">
        <f>Februar!A19</f>
        <v>11</v>
      </c>
      <c r="Z13" s="67" t="str">
        <f>Februar!B19</f>
        <v>sø</v>
      </c>
      <c r="AA13" s="129" t="str">
        <f>Februar!C19</f>
        <v>Weekend</v>
      </c>
      <c r="AB13" s="622" t="str">
        <f>Februar!D19</f>
        <v/>
      </c>
      <c r="AC13" s="67">
        <f>Marts!A19</f>
        <v>11</v>
      </c>
      <c r="AD13" s="67" t="str">
        <f>Marts!B19</f>
        <v>ma</v>
      </c>
      <c r="AE13" s="129" t="str">
        <f>Marts!C19</f>
        <v>Skema 1</v>
      </c>
      <c r="AF13" s="130">
        <f>Marts!D19</f>
        <v>11</v>
      </c>
      <c r="AG13" s="621">
        <f>April!A19</f>
        <v>11</v>
      </c>
      <c r="AH13" s="67" t="str">
        <f>April!B19</f>
        <v>to</v>
      </c>
      <c r="AI13" s="129" t="str">
        <f>April!C19</f>
        <v>Skema 1</v>
      </c>
      <c r="AJ13" s="622" t="str">
        <f>April!D19</f>
        <v/>
      </c>
      <c r="AK13" s="629">
        <f>Maj!A19</f>
        <v>11</v>
      </c>
      <c r="AL13" s="630" t="str">
        <f>Maj!B19</f>
        <v>lø</v>
      </c>
      <c r="AM13" s="129" t="str">
        <f>Maj!C19</f>
        <v>Weekend</v>
      </c>
      <c r="AN13" s="631" t="str">
        <f>Maj!D19</f>
        <v/>
      </c>
      <c r="AO13" s="629">
        <f>Juni!A19</f>
        <v>11</v>
      </c>
      <c r="AP13" s="630" t="str">
        <f>Juni!B19</f>
        <v>ti</v>
      </c>
      <c r="AQ13" s="129" t="str">
        <f>Juni!C19</f>
        <v>Skema 1</v>
      </c>
      <c r="AR13" s="631" t="str">
        <f>Juni!D19</f>
        <v/>
      </c>
      <c r="AS13" s="629">
        <f>Juli!A19</f>
        <v>11</v>
      </c>
      <c r="AT13" s="630" t="str">
        <f>Juli!B19</f>
        <v>to</v>
      </c>
      <c r="AU13" s="129" t="str">
        <f>Juli!C19</f>
        <v>Feriedag</v>
      </c>
      <c r="AV13" s="631" t="str">
        <f>Juli!D19</f>
        <v/>
      </c>
    </row>
    <row r="14" spans="1:48" ht="24" customHeight="1">
      <c r="A14" s="621">
        <f>August!A21</f>
        <v>12</v>
      </c>
      <c r="B14" s="67" t="str">
        <f>August!B21</f>
        <v>lø</v>
      </c>
      <c r="C14" s="129" t="str">
        <f>August!C21</f>
        <v>Weekend</v>
      </c>
      <c r="D14" s="622" t="str">
        <f>August!D21</f>
        <v/>
      </c>
      <c r="E14" s="621">
        <f>September!A20</f>
        <v>12</v>
      </c>
      <c r="F14" s="67" t="str">
        <f>September!B20</f>
        <v>ti</v>
      </c>
      <c r="G14" s="129" t="str">
        <f>September!C20</f>
        <v>Skema 1</v>
      </c>
      <c r="H14" s="622" t="str">
        <f>September!D20</f>
        <v/>
      </c>
      <c r="I14" s="621">
        <f>Oktober!A20</f>
        <v>12</v>
      </c>
      <c r="J14" s="67" t="str">
        <f>Oktober!B20</f>
        <v>to</v>
      </c>
      <c r="K14" s="129" t="str">
        <f>Oktober!C20</f>
        <v>Skema 1</v>
      </c>
      <c r="L14" s="622" t="str">
        <f>Oktober!D20</f>
        <v/>
      </c>
      <c r="M14" s="621">
        <f>November!A20</f>
        <v>12</v>
      </c>
      <c r="N14" s="67" t="str">
        <f>November!B20</f>
        <v>sø</v>
      </c>
      <c r="O14" s="129" t="str">
        <f>November!C20</f>
        <v>Weekend</v>
      </c>
      <c r="P14" s="622" t="str">
        <f>November!D20</f>
        <v/>
      </c>
      <c r="Q14" s="621">
        <f>December!A20</f>
        <v>12</v>
      </c>
      <c r="R14" s="67" t="str">
        <f>December!B20</f>
        <v>ti</v>
      </c>
      <c r="S14" s="129" t="str">
        <f>December!C20</f>
        <v>Skema 1</v>
      </c>
      <c r="T14" s="622" t="str">
        <f>December!D20</f>
        <v/>
      </c>
      <c r="U14" s="67">
        <f>Januar!A20</f>
        <v>12</v>
      </c>
      <c r="V14" s="67" t="str">
        <f>Januar!B20</f>
        <v>fr</v>
      </c>
      <c r="W14" s="129" t="str">
        <f>Januar!C20</f>
        <v>Skema 1</v>
      </c>
      <c r="X14" s="130" t="str">
        <f>Januar!D20</f>
        <v/>
      </c>
      <c r="Y14" s="621">
        <f>Februar!A20</f>
        <v>12</v>
      </c>
      <c r="Z14" s="67" t="str">
        <f>Februar!B20</f>
        <v>ma</v>
      </c>
      <c r="AA14" s="129" t="str">
        <f>Februar!C20</f>
        <v>Nul-dag</v>
      </c>
      <c r="AB14" s="622">
        <f>Februar!D20</f>
        <v>7</v>
      </c>
      <c r="AC14" s="67">
        <f>Marts!A20</f>
        <v>12</v>
      </c>
      <c r="AD14" s="67" t="str">
        <f>Marts!B20</f>
        <v>ti</v>
      </c>
      <c r="AE14" s="129" t="str">
        <f>Marts!C20</f>
        <v>Skema 1</v>
      </c>
      <c r="AF14" s="130" t="str">
        <f>Marts!D20</f>
        <v/>
      </c>
      <c r="AG14" s="621">
        <f>April!A20</f>
        <v>12</v>
      </c>
      <c r="AH14" s="67" t="str">
        <f>April!B20</f>
        <v>fr</v>
      </c>
      <c r="AI14" s="129" t="str">
        <f>April!C20</f>
        <v>Skema 1</v>
      </c>
      <c r="AJ14" s="622" t="str">
        <f>April!D20</f>
        <v/>
      </c>
      <c r="AK14" s="629">
        <f>Maj!A20</f>
        <v>12</v>
      </c>
      <c r="AL14" s="630" t="str">
        <f>Maj!B20</f>
        <v>sø</v>
      </c>
      <c r="AM14" s="129" t="str">
        <f>Maj!C20</f>
        <v>Weekend</v>
      </c>
      <c r="AN14" s="631" t="str">
        <f>Maj!D20</f>
        <v/>
      </c>
      <c r="AO14" s="629">
        <f>Juni!A20</f>
        <v>12</v>
      </c>
      <c r="AP14" s="630" t="str">
        <f>Juni!B20</f>
        <v>on</v>
      </c>
      <c r="AQ14" s="129" t="str">
        <f>Juni!C20</f>
        <v>Skema 1</v>
      </c>
      <c r="AR14" s="631" t="str">
        <f>Juni!D20</f>
        <v/>
      </c>
      <c r="AS14" s="629">
        <f>Juli!A20</f>
        <v>12</v>
      </c>
      <c r="AT14" s="630" t="str">
        <f>Juli!B20</f>
        <v>fr</v>
      </c>
      <c r="AU14" s="129" t="str">
        <f>Juli!C20</f>
        <v>Feriedag</v>
      </c>
      <c r="AV14" s="631" t="str">
        <f>Juli!D20</f>
        <v/>
      </c>
    </row>
    <row r="15" spans="1:48" ht="24" customHeight="1">
      <c r="A15" s="621">
        <f>August!A22</f>
        <v>13</v>
      </c>
      <c r="B15" s="67" t="str">
        <f>August!B22</f>
        <v>sø</v>
      </c>
      <c r="C15" s="129" t="str">
        <f>August!C22</f>
        <v>Weekend</v>
      </c>
      <c r="D15" s="622" t="str">
        <f>August!D22</f>
        <v/>
      </c>
      <c r="E15" s="621">
        <f>September!A21</f>
        <v>13</v>
      </c>
      <c r="F15" s="67" t="str">
        <f>September!B21</f>
        <v>on</v>
      </c>
      <c r="G15" s="129" t="str">
        <f>September!C21</f>
        <v>Skema 1</v>
      </c>
      <c r="H15" s="622" t="str">
        <f>September!D21</f>
        <v/>
      </c>
      <c r="I15" s="621">
        <f>Oktober!A21</f>
        <v>13</v>
      </c>
      <c r="J15" s="67" t="str">
        <f>Oktober!B21</f>
        <v>fr</v>
      </c>
      <c r="K15" s="129" t="str">
        <f>Oktober!C21</f>
        <v>Skema 1</v>
      </c>
      <c r="L15" s="622" t="str">
        <f>Oktober!D21</f>
        <v/>
      </c>
      <c r="M15" s="621">
        <f>November!A21</f>
        <v>13</v>
      </c>
      <c r="N15" s="67" t="str">
        <f>November!B21</f>
        <v>ma</v>
      </c>
      <c r="O15" s="129" t="str">
        <f>November!C21</f>
        <v>Skema 1</v>
      </c>
      <c r="P15" s="622">
        <f>November!D21</f>
        <v>46.142857142857146</v>
      </c>
      <c r="Q15" s="621">
        <f>December!A21</f>
        <v>13</v>
      </c>
      <c r="R15" s="67" t="str">
        <f>December!B21</f>
        <v>on</v>
      </c>
      <c r="S15" s="129" t="str">
        <f>December!C21</f>
        <v>Skema 1</v>
      </c>
      <c r="T15" s="622" t="str">
        <f>December!D21</f>
        <v/>
      </c>
      <c r="U15" s="67">
        <f>Januar!A21</f>
        <v>13</v>
      </c>
      <c r="V15" s="67" t="str">
        <f>Januar!B21</f>
        <v>lø</v>
      </c>
      <c r="W15" s="129" t="str">
        <f>Januar!C21</f>
        <v>Weekend</v>
      </c>
      <c r="X15" s="130" t="str">
        <f>Januar!D21</f>
        <v/>
      </c>
      <c r="Y15" s="621">
        <f>Februar!A21</f>
        <v>13</v>
      </c>
      <c r="Z15" s="67" t="str">
        <f>Februar!B21</f>
        <v>ti</v>
      </c>
      <c r="AA15" s="129" t="str">
        <f>Februar!C21</f>
        <v>Nul-dag</v>
      </c>
      <c r="AB15" s="622" t="str">
        <f>Februar!D21</f>
        <v/>
      </c>
      <c r="AC15" s="67">
        <f>Marts!A21</f>
        <v>13</v>
      </c>
      <c r="AD15" s="67" t="str">
        <f>Marts!B21</f>
        <v>on</v>
      </c>
      <c r="AE15" s="129" t="str">
        <f>Marts!C21</f>
        <v>Skema 1</v>
      </c>
      <c r="AF15" s="130" t="str">
        <f>Marts!D21</f>
        <v/>
      </c>
      <c r="AG15" s="621">
        <f>April!A21</f>
        <v>13</v>
      </c>
      <c r="AH15" s="67" t="str">
        <f>April!B21</f>
        <v>lø</v>
      </c>
      <c r="AI15" s="129" t="str">
        <f>April!C21</f>
        <v>Weekend</v>
      </c>
      <c r="AJ15" s="622" t="str">
        <f>April!D21</f>
        <v/>
      </c>
      <c r="AK15" s="629">
        <f>Maj!A21</f>
        <v>13</v>
      </c>
      <c r="AL15" s="630" t="str">
        <f>Maj!B21</f>
        <v>ma</v>
      </c>
      <c r="AM15" s="129" t="str">
        <f>Maj!C21</f>
        <v>Skema 1</v>
      </c>
      <c r="AN15" s="631">
        <f>Maj!D21</f>
        <v>20</v>
      </c>
      <c r="AO15" s="629">
        <f>Juni!A21</f>
        <v>13</v>
      </c>
      <c r="AP15" s="630" t="str">
        <f>Juni!B21</f>
        <v>to</v>
      </c>
      <c r="AQ15" s="129" t="str">
        <f>Juni!C21</f>
        <v>Skema 1</v>
      </c>
      <c r="AR15" s="631" t="str">
        <f>Juni!D21</f>
        <v/>
      </c>
      <c r="AS15" s="629">
        <f>Juli!A21</f>
        <v>13</v>
      </c>
      <c r="AT15" s="630" t="str">
        <f>Juli!B21</f>
        <v>lø</v>
      </c>
      <c r="AU15" s="129" t="str">
        <f>Juli!C21</f>
        <v>Weekend</v>
      </c>
      <c r="AV15" s="631" t="str">
        <f>Juli!D21</f>
        <v/>
      </c>
    </row>
    <row r="16" spans="1:48" ht="24" customHeight="1">
      <c r="A16" s="621">
        <f>August!A23</f>
        <v>14</v>
      </c>
      <c r="B16" s="67" t="str">
        <f>August!B23</f>
        <v>ma</v>
      </c>
      <c r="C16" s="129" t="str">
        <f>August!C23</f>
        <v>Skema 1</v>
      </c>
      <c r="D16" s="622">
        <f>August!D23</f>
        <v>33.142857142857146</v>
      </c>
      <c r="E16" s="621">
        <f>September!A22</f>
        <v>14</v>
      </c>
      <c r="F16" s="67" t="str">
        <f>September!B22</f>
        <v>to</v>
      </c>
      <c r="G16" s="129" t="str">
        <f>September!C22</f>
        <v>Skema 1</v>
      </c>
      <c r="H16" s="622" t="str">
        <f>September!D22</f>
        <v/>
      </c>
      <c r="I16" s="621">
        <f>Oktober!A22</f>
        <v>14</v>
      </c>
      <c r="J16" s="67" t="str">
        <f>Oktober!B22</f>
        <v>lø</v>
      </c>
      <c r="K16" s="129" t="str">
        <f>Oktober!C22</f>
        <v>Weekend</v>
      </c>
      <c r="L16" s="622" t="str">
        <f>Oktober!D22</f>
        <v/>
      </c>
      <c r="M16" s="621">
        <f>November!A22</f>
        <v>14</v>
      </c>
      <c r="N16" s="67" t="str">
        <f>November!B22</f>
        <v>ti</v>
      </c>
      <c r="O16" s="129" t="str">
        <f>November!C22</f>
        <v>Skema 1</v>
      </c>
      <c r="P16" s="622" t="str">
        <f>November!D22</f>
        <v/>
      </c>
      <c r="Q16" s="621">
        <f>December!A22</f>
        <v>14</v>
      </c>
      <c r="R16" s="67" t="str">
        <f>December!B22</f>
        <v>to</v>
      </c>
      <c r="S16" s="129" t="str">
        <f>December!C22</f>
        <v>Skema 1</v>
      </c>
      <c r="T16" s="622" t="str">
        <f>December!D22</f>
        <v/>
      </c>
      <c r="U16" s="67">
        <f>Januar!A22</f>
        <v>14</v>
      </c>
      <c r="V16" s="67" t="str">
        <f>Januar!B22</f>
        <v>sø</v>
      </c>
      <c r="W16" s="129" t="str">
        <f>Januar!C22</f>
        <v>Weekend</v>
      </c>
      <c r="X16" s="130" t="str">
        <f>Januar!D22</f>
        <v/>
      </c>
      <c r="Y16" s="621">
        <f>Februar!A22</f>
        <v>14</v>
      </c>
      <c r="Z16" s="67" t="str">
        <f>Februar!B22</f>
        <v>on</v>
      </c>
      <c r="AA16" s="129" t="str">
        <f>Februar!C22</f>
        <v>Nul-dag</v>
      </c>
      <c r="AB16" s="622" t="str">
        <f>Februar!D22</f>
        <v/>
      </c>
      <c r="AC16" s="67">
        <f>Marts!A22</f>
        <v>14</v>
      </c>
      <c r="AD16" s="67" t="str">
        <f>Marts!B22</f>
        <v>to</v>
      </c>
      <c r="AE16" s="129" t="str">
        <f>Marts!C22</f>
        <v>Skema 1</v>
      </c>
      <c r="AF16" s="130" t="str">
        <f>Marts!D22</f>
        <v/>
      </c>
      <c r="AG16" s="621">
        <f>April!A22</f>
        <v>14</v>
      </c>
      <c r="AH16" s="67" t="str">
        <f>April!B22</f>
        <v>sø</v>
      </c>
      <c r="AI16" s="129" t="str">
        <f>April!C22</f>
        <v>Weekend</v>
      </c>
      <c r="AJ16" s="622" t="str">
        <f>April!D22</f>
        <v/>
      </c>
      <c r="AK16" s="629">
        <f>Maj!A22</f>
        <v>14</v>
      </c>
      <c r="AL16" s="630" t="str">
        <f>Maj!B22</f>
        <v>ti</v>
      </c>
      <c r="AM16" s="129" t="str">
        <f>Maj!C22</f>
        <v>Skema 1</v>
      </c>
      <c r="AN16" s="631" t="str">
        <f>Maj!D22</f>
        <v/>
      </c>
      <c r="AO16" s="629">
        <f>Juni!A22</f>
        <v>14</v>
      </c>
      <c r="AP16" s="630" t="str">
        <f>Juni!B22</f>
        <v>fr</v>
      </c>
      <c r="AQ16" s="129" t="str">
        <f>Juni!C22</f>
        <v>Skema 1</v>
      </c>
      <c r="AR16" s="631" t="str">
        <f>Juni!D22</f>
        <v/>
      </c>
      <c r="AS16" s="629">
        <f>Juli!A22</f>
        <v>14</v>
      </c>
      <c r="AT16" s="630" t="str">
        <f>Juli!B22</f>
        <v>sø</v>
      </c>
      <c r="AU16" s="129" t="str">
        <f>Juli!C22</f>
        <v>Weekend</v>
      </c>
      <c r="AV16" s="631" t="str">
        <f>Juli!D22</f>
        <v/>
      </c>
    </row>
    <row r="17" spans="1:48" ht="24" customHeight="1">
      <c r="A17" s="621">
        <f>August!A24</f>
        <v>15</v>
      </c>
      <c r="B17" s="67" t="str">
        <f>August!B24</f>
        <v>ti</v>
      </c>
      <c r="C17" s="129" t="str">
        <f>August!C24</f>
        <v>Skema 1</v>
      </c>
      <c r="D17" s="622" t="str">
        <f>August!D24</f>
        <v/>
      </c>
      <c r="E17" s="621">
        <f>September!A23</f>
        <v>15</v>
      </c>
      <c r="F17" s="67" t="str">
        <f>September!B23</f>
        <v>fr</v>
      </c>
      <c r="G17" s="129" t="str">
        <f>September!C23</f>
        <v>Skema 1</v>
      </c>
      <c r="H17" s="622" t="str">
        <f>September!D23</f>
        <v/>
      </c>
      <c r="I17" s="621">
        <f>Oktober!A23</f>
        <v>15</v>
      </c>
      <c r="J17" s="67" t="str">
        <f>Oktober!B23</f>
        <v>sø</v>
      </c>
      <c r="K17" s="129" t="str">
        <f>Oktober!C23</f>
        <v>Weekend</v>
      </c>
      <c r="L17" s="622" t="str">
        <f>Oktober!D23</f>
        <v/>
      </c>
      <c r="M17" s="621">
        <f>November!A23</f>
        <v>15</v>
      </c>
      <c r="N17" s="67" t="str">
        <f>November!B23</f>
        <v>on</v>
      </c>
      <c r="O17" s="129" t="str">
        <f>November!C23</f>
        <v>Skema 1</v>
      </c>
      <c r="P17" s="622" t="str">
        <f>November!D23</f>
        <v/>
      </c>
      <c r="Q17" s="621">
        <f>December!A23</f>
        <v>15</v>
      </c>
      <c r="R17" s="67" t="str">
        <f>December!B23</f>
        <v>fr</v>
      </c>
      <c r="S17" s="129" t="str">
        <f>December!C23</f>
        <v>Skema 1</v>
      </c>
      <c r="T17" s="622" t="str">
        <f>December!D23</f>
        <v/>
      </c>
      <c r="U17" s="67">
        <f>Januar!A23</f>
        <v>15</v>
      </c>
      <c r="V17" s="67" t="str">
        <f>Januar!B23</f>
        <v>ma</v>
      </c>
      <c r="W17" s="129" t="str">
        <f>Januar!C23</f>
        <v>Skema 1</v>
      </c>
      <c r="X17" s="130">
        <f>Januar!D23</f>
        <v>3</v>
      </c>
      <c r="Y17" s="621">
        <f>Februar!A23</f>
        <v>15</v>
      </c>
      <c r="Z17" s="67" t="str">
        <f>Februar!B23</f>
        <v>to</v>
      </c>
      <c r="AA17" s="129" t="str">
        <f>Februar!C23</f>
        <v>Nul-dag</v>
      </c>
      <c r="AB17" s="622" t="str">
        <f>Februar!D23</f>
        <v/>
      </c>
      <c r="AC17" s="67">
        <f>Marts!A23</f>
        <v>15</v>
      </c>
      <c r="AD17" s="67" t="str">
        <f>Marts!B23</f>
        <v>fr</v>
      </c>
      <c r="AE17" s="129" t="str">
        <f>Marts!C23</f>
        <v>Skema 1</v>
      </c>
      <c r="AF17" s="130" t="str">
        <f>Marts!D23</f>
        <v/>
      </c>
      <c r="AG17" s="621">
        <f>April!A23</f>
        <v>15</v>
      </c>
      <c r="AH17" s="67" t="str">
        <f>April!B23</f>
        <v>ma</v>
      </c>
      <c r="AI17" s="129" t="str">
        <f>April!C23</f>
        <v>Skema 1</v>
      </c>
      <c r="AJ17" s="622">
        <f>April!D23</f>
        <v>16</v>
      </c>
      <c r="AK17" s="629">
        <f>Maj!A23</f>
        <v>15</v>
      </c>
      <c r="AL17" s="630" t="str">
        <f>Maj!B23</f>
        <v>on</v>
      </c>
      <c r="AM17" s="129" t="str">
        <f>Maj!C23</f>
        <v>Skema 1</v>
      </c>
      <c r="AN17" s="631" t="str">
        <f>Maj!D23</f>
        <v/>
      </c>
      <c r="AO17" s="629">
        <f>Juni!A23</f>
        <v>15</v>
      </c>
      <c r="AP17" s="630" t="str">
        <f>Juni!B23</f>
        <v>lø</v>
      </c>
      <c r="AQ17" s="129" t="str">
        <f>Juni!C23</f>
        <v>Weekend</v>
      </c>
      <c r="AR17" s="631" t="str">
        <f>Juni!D23</f>
        <v/>
      </c>
      <c r="AS17" s="629">
        <f>Juli!A23</f>
        <v>15</v>
      </c>
      <c r="AT17" s="630" t="str">
        <f>Juli!B23</f>
        <v>ma</v>
      </c>
      <c r="AU17" s="129" t="str">
        <f>Juli!C23</f>
        <v>Feriedag</v>
      </c>
      <c r="AV17" s="631">
        <f>Juli!D23</f>
        <v>29</v>
      </c>
    </row>
    <row r="18" spans="1:48" ht="24" customHeight="1">
      <c r="A18" s="621">
        <f>August!A25</f>
        <v>16</v>
      </c>
      <c r="B18" s="67" t="str">
        <f>August!B25</f>
        <v>on</v>
      </c>
      <c r="C18" s="129" t="str">
        <f>August!C25</f>
        <v>Skema 1</v>
      </c>
      <c r="D18" s="622" t="str">
        <f>August!D25</f>
        <v/>
      </c>
      <c r="E18" s="621">
        <f>September!A24</f>
        <v>16</v>
      </c>
      <c r="F18" s="67" t="str">
        <f>September!B24</f>
        <v>lø</v>
      </c>
      <c r="G18" s="129" t="str">
        <f>September!C24</f>
        <v>Weekend</v>
      </c>
      <c r="H18" s="622" t="str">
        <f>September!D24</f>
        <v/>
      </c>
      <c r="I18" s="621">
        <f>Oktober!A24</f>
        <v>16</v>
      </c>
      <c r="J18" s="67" t="str">
        <f>Oktober!B24</f>
        <v>ma</v>
      </c>
      <c r="K18" s="129" t="str">
        <f>Oktober!C24</f>
        <v>Feriedag</v>
      </c>
      <c r="L18" s="622">
        <f>Oktober!D24</f>
        <v>42.142857142857146</v>
      </c>
      <c r="M18" s="621">
        <f>November!A24</f>
        <v>16</v>
      </c>
      <c r="N18" s="67" t="str">
        <f>November!B24</f>
        <v>to</v>
      </c>
      <c r="O18" s="129" t="str">
        <f>November!C24</f>
        <v>Skema 1</v>
      </c>
      <c r="P18" s="622" t="str">
        <f>November!D24</f>
        <v/>
      </c>
      <c r="Q18" s="621">
        <f>December!A24</f>
        <v>16</v>
      </c>
      <c r="R18" s="67" t="str">
        <f>December!B24</f>
        <v>lø</v>
      </c>
      <c r="S18" s="129" t="str">
        <f>December!C24</f>
        <v>Weekend</v>
      </c>
      <c r="T18" s="622" t="str">
        <f>December!D24</f>
        <v/>
      </c>
      <c r="U18" s="67">
        <f>Januar!A24</f>
        <v>16</v>
      </c>
      <c r="V18" s="67" t="str">
        <f>Januar!B24</f>
        <v>ti</v>
      </c>
      <c r="W18" s="129" t="str">
        <f>Januar!C24</f>
        <v>Skema 1</v>
      </c>
      <c r="X18" s="130" t="str">
        <f>Januar!D24</f>
        <v/>
      </c>
      <c r="Y18" s="621">
        <f>Februar!A24</f>
        <v>16</v>
      </c>
      <c r="Z18" s="67" t="str">
        <f>Februar!B24</f>
        <v>fr</v>
      </c>
      <c r="AA18" s="129" t="str">
        <f>Februar!C24</f>
        <v>Nul-dag</v>
      </c>
      <c r="AB18" s="622" t="str">
        <f>Februar!D24</f>
        <v/>
      </c>
      <c r="AC18" s="67">
        <f>Marts!A24</f>
        <v>16</v>
      </c>
      <c r="AD18" s="67" t="str">
        <f>Marts!B24</f>
        <v>lø</v>
      </c>
      <c r="AE18" s="129" t="str">
        <f>Marts!C24</f>
        <v>Weekend</v>
      </c>
      <c r="AF18" s="130" t="str">
        <f>Marts!D24</f>
        <v/>
      </c>
      <c r="AG18" s="621">
        <f>April!A24</f>
        <v>16</v>
      </c>
      <c r="AH18" s="67" t="str">
        <f>April!B24</f>
        <v>ti</v>
      </c>
      <c r="AI18" s="129" t="str">
        <f>April!C24</f>
        <v>Skema 1</v>
      </c>
      <c r="AJ18" s="622" t="str">
        <f>April!D24</f>
        <v/>
      </c>
      <c r="AK18" s="629">
        <f>Maj!A24</f>
        <v>16</v>
      </c>
      <c r="AL18" s="630" t="str">
        <f>Maj!B24</f>
        <v>to</v>
      </c>
      <c r="AM18" s="129" t="str">
        <f>Maj!C24</f>
        <v>Skema 1</v>
      </c>
      <c r="AN18" s="631" t="str">
        <f>Maj!D24</f>
        <v/>
      </c>
      <c r="AO18" s="629">
        <f>Juni!A24</f>
        <v>16</v>
      </c>
      <c r="AP18" s="630" t="str">
        <f>Juni!B24</f>
        <v>sø</v>
      </c>
      <c r="AQ18" s="129" t="str">
        <f>Juni!C24</f>
        <v>Weekend</v>
      </c>
      <c r="AR18" s="631" t="str">
        <f>Juni!D24</f>
        <v/>
      </c>
      <c r="AS18" s="629">
        <f>Juli!A24</f>
        <v>16</v>
      </c>
      <c r="AT18" s="630" t="str">
        <f>Juli!B24</f>
        <v>ti</v>
      </c>
      <c r="AU18" s="129" t="str">
        <f>Juli!C24</f>
        <v>Feriedag</v>
      </c>
      <c r="AV18" s="631" t="str">
        <f>Juli!D24</f>
        <v/>
      </c>
    </row>
    <row r="19" spans="1:48" ht="24" customHeight="1">
      <c r="A19" s="621">
        <f>August!A26</f>
        <v>17</v>
      </c>
      <c r="B19" s="67" t="str">
        <f>August!B26</f>
        <v>to</v>
      </c>
      <c r="C19" s="129" t="str">
        <f>August!C26</f>
        <v>Skema 1</v>
      </c>
      <c r="D19" s="622" t="str">
        <f>August!D26</f>
        <v/>
      </c>
      <c r="E19" s="621">
        <f>September!A25</f>
        <v>17</v>
      </c>
      <c r="F19" s="67" t="str">
        <f>September!B25</f>
        <v>sø</v>
      </c>
      <c r="G19" s="129" t="str">
        <f>September!C25</f>
        <v>Weekend</v>
      </c>
      <c r="H19" s="622" t="str">
        <f>September!D25</f>
        <v/>
      </c>
      <c r="I19" s="621">
        <f>Oktober!A25</f>
        <v>17</v>
      </c>
      <c r="J19" s="67" t="str">
        <f>Oktober!B25</f>
        <v>ti</v>
      </c>
      <c r="K19" s="129" t="str">
        <f>Oktober!C25</f>
        <v>Feriedag</v>
      </c>
      <c r="L19" s="622" t="str">
        <f>Oktober!D25</f>
        <v/>
      </c>
      <c r="M19" s="621">
        <f>November!A25</f>
        <v>17</v>
      </c>
      <c r="N19" s="67" t="str">
        <f>November!B25</f>
        <v>fr</v>
      </c>
      <c r="O19" s="129" t="str">
        <f>November!C25</f>
        <v>Skema 1</v>
      </c>
      <c r="P19" s="622" t="str">
        <f>November!D25</f>
        <v/>
      </c>
      <c r="Q19" s="621">
        <f>December!A25</f>
        <v>17</v>
      </c>
      <c r="R19" s="67" t="str">
        <f>December!B25</f>
        <v>sø</v>
      </c>
      <c r="S19" s="129" t="str">
        <f>December!C25</f>
        <v>Weekend</v>
      </c>
      <c r="T19" s="622" t="str">
        <f>December!D25</f>
        <v/>
      </c>
      <c r="U19" s="67">
        <f>Januar!A25</f>
        <v>17</v>
      </c>
      <c r="V19" s="67" t="str">
        <f>Januar!B25</f>
        <v>on</v>
      </c>
      <c r="W19" s="129" t="str">
        <f>Januar!C25</f>
        <v>Skema 1</v>
      </c>
      <c r="X19" s="130" t="str">
        <f>Januar!D25</f>
        <v/>
      </c>
      <c r="Y19" s="621">
        <f>Februar!A25</f>
        <v>17</v>
      </c>
      <c r="Z19" s="67" t="str">
        <f>Februar!B25</f>
        <v>lø</v>
      </c>
      <c r="AA19" s="129" t="str">
        <f>Februar!C25</f>
        <v>Weekend</v>
      </c>
      <c r="AB19" s="622" t="str">
        <f>Februar!D25</f>
        <v/>
      </c>
      <c r="AC19" s="67">
        <f>Marts!A25</f>
        <v>17</v>
      </c>
      <c r="AD19" s="67" t="str">
        <f>Marts!B25</f>
        <v>sø</v>
      </c>
      <c r="AE19" s="129" t="str">
        <f>Marts!C25</f>
        <v>Weekend</v>
      </c>
      <c r="AF19" s="130" t="str">
        <f>Marts!D25</f>
        <v/>
      </c>
      <c r="AG19" s="621">
        <f>April!A25</f>
        <v>17</v>
      </c>
      <c r="AH19" s="67" t="str">
        <f>April!B25</f>
        <v>on</v>
      </c>
      <c r="AI19" s="129" t="str">
        <f>April!C25</f>
        <v>Skema 1</v>
      </c>
      <c r="AJ19" s="622" t="str">
        <f>April!D25</f>
        <v/>
      </c>
      <c r="AK19" s="629">
        <f>Maj!A25</f>
        <v>17</v>
      </c>
      <c r="AL19" s="630" t="str">
        <f>Maj!B25</f>
        <v>fr</v>
      </c>
      <c r="AM19" s="129" t="str">
        <f>Maj!C25</f>
        <v>Skema 1</v>
      </c>
      <c r="AN19" s="631" t="str">
        <f>Maj!D25</f>
        <v/>
      </c>
      <c r="AO19" s="629">
        <f>Juni!A25</f>
        <v>17</v>
      </c>
      <c r="AP19" s="630" t="str">
        <f>Juni!B25</f>
        <v>ma</v>
      </c>
      <c r="AQ19" s="129" t="str">
        <f>Juni!C25</f>
        <v>Skema 1</v>
      </c>
      <c r="AR19" s="631">
        <f>Juni!D25</f>
        <v>25</v>
      </c>
      <c r="AS19" s="629">
        <f>Juli!A25</f>
        <v>17</v>
      </c>
      <c r="AT19" s="630" t="str">
        <f>Juli!B25</f>
        <v>on</v>
      </c>
      <c r="AU19" s="129" t="str">
        <f>Juli!C25</f>
        <v>Feriedag</v>
      </c>
      <c r="AV19" s="631" t="str">
        <f>Juli!D25</f>
        <v/>
      </c>
    </row>
    <row r="20" spans="1:48" ht="24" customHeight="1">
      <c r="A20" s="621">
        <f>August!A27</f>
        <v>18</v>
      </c>
      <c r="B20" s="67" t="str">
        <f>August!B27</f>
        <v>fr</v>
      </c>
      <c r="C20" s="129" t="str">
        <f>August!C27</f>
        <v>Skema 1</v>
      </c>
      <c r="D20" s="622" t="str">
        <f>August!D27</f>
        <v/>
      </c>
      <c r="E20" s="621">
        <f>September!A26</f>
        <v>18</v>
      </c>
      <c r="F20" s="67" t="str">
        <f>September!B26</f>
        <v>ma</v>
      </c>
      <c r="G20" s="129" t="str">
        <f>September!C26</f>
        <v>Skema 1</v>
      </c>
      <c r="H20" s="622">
        <f>September!D26</f>
        <v>38.142857142857146</v>
      </c>
      <c r="I20" s="621">
        <f>Oktober!A26</f>
        <v>18</v>
      </c>
      <c r="J20" s="67" t="str">
        <f>Oktober!B26</f>
        <v>on</v>
      </c>
      <c r="K20" s="129" t="str">
        <f>Oktober!C26</f>
        <v>Feriedag</v>
      </c>
      <c r="L20" s="622" t="str">
        <f>Oktober!D26</f>
        <v/>
      </c>
      <c r="M20" s="621">
        <f>November!A26</f>
        <v>18</v>
      </c>
      <c r="N20" s="67" t="str">
        <f>November!B26</f>
        <v>lø</v>
      </c>
      <c r="O20" s="129" t="str">
        <f>November!C26</f>
        <v>Weekend</v>
      </c>
      <c r="P20" s="622" t="str">
        <f>November!D26</f>
        <v/>
      </c>
      <c r="Q20" s="621">
        <f>December!A26</f>
        <v>18</v>
      </c>
      <c r="R20" s="67" t="str">
        <f>December!B26</f>
        <v>ma</v>
      </c>
      <c r="S20" s="129" t="str">
        <f>December!C26</f>
        <v>Skema 1</v>
      </c>
      <c r="T20" s="622">
        <f>December!D26</f>
        <v>51.142857142857146</v>
      </c>
      <c r="U20" s="67">
        <f>Januar!A26</f>
        <v>18</v>
      </c>
      <c r="V20" s="67" t="str">
        <f>Januar!B26</f>
        <v>to</v>
      </c>
      <c r="W20" s="129" t="str">
        <f>Januar!C26</f>
        <v>Skema 1</v>
      </c>
      <c r="X20" s="130" t="str">
        <f>Januar!D26</f>
        <v/>
      </c>
      <c r="Y20" s="621">
        <f>Februar!A26</f>
        <v>18</v>
      </c>
      <c r="Z20" s="67" t="str">
        <f>Februar!B26</f>
        <v>sø</v>
      </c>
      <c r="AA20" s="129" t="str">
        <f>Februar!C26</f>
        <v>Weekend</v>
      </c>
      <c r="AB20" s="622" t="str">
        <f>Februar!D26</f>
        <v/>
      </c>
      <c r="AC20" s="67">
        <f>Marts!A26</f>
        <v>18</v>
      </c>
      <c r="AD20" s="67" t="str">
        <f>Marts!B26</f>
        <v>ma</v>
      </c>
      <c r="AE20" s="129" t="str">
        <f>Marts!C26</f>
        <v>Skema 1</v>
      </c>
      <c r="AF20" s="130">
        <f>Marts!D26</f>
        <v>12</v>
      </c>
      <c r="AG20" s="621">
        <f>April!A26</f>
        <v>18</v>
      </c>
      <c r="AH20" s="67" t="str">
        <f>April!B26</f>
        <v>to</v>
      </c>
      <c r="AI20" s="129" t="str">
        <f>April!C26</f>
        <v>Skema 1</v>
      </c>
      <c r="AJ20" s="622" t="str">
        <f>April!D26</f>
        <v/>
      </c>
      <c r="AK20" s="629">
        <f>Maj!A26</f>
        <v>18</v>
      </c>
      <c r="AL20" s="630" t="str">
        <f>Maj!B26</f>
        <v>lø</v>
      </c>
      <c r="AM20" s="129" t="str">
        <f>Maj!C26</f>
        <v>Weekend</v>
      </c>
      <c r="AN20" s="631" t="str">
        <f>Maj!D26</f>
        <v/>
      </c>
      <c r="AO20" s="629">
        <f>Juni!A26</f>
        <v>18</v>
      </c>
      <c r="AP20" s="630" t="str">
        <f>Juni!B26</f>
        <v>ti</v>
      </c>
      <c r="AQ20" s="129" t="str">
        <f>Juni!C26</f>
        <v>Skema 1</v>
      </c>
      <c r="AR20" s="631" t="str">
        <f>Juni!D26</f>
        <v/>
      </c>
      <c r="AS20" s="629">
        <f>Juli!A26</f>
        <v>18</v>
      </c>
      <c r="AT20" s="630" t="str">
        <f>Juli!B26</f>
        <v>to</v>
      </c>
      <c r="AU20" s="129" t="str">
        <f>Juli!C26</f>
        <v>Feriedag</v>
      </c>
      <c r="AV20" s="631" t="str">
        <f>Juli!D26</f>
        <v/>
      </c>
    </row>
    <row r="21" spans="1:48" ht="24" customHeight="1">
      <c r="A21" s="621">
        <f>August!A28</f>
        <v>19</v>
      </c>
      <c r="B21" s="67" t="str">
        <f>August!B28</f>
        <v>lø</v>
      </c>
      <c r="C21" s="129" t="str">
        <f>August!C28</f>
        <v>Weekend</v>
      </c>
      <c r="D21" s="622" t="str">
        <f>August!D28</f>
        <v/>
      </c>
      <c r="E21" s="621">
        <f>September!A27</f>
        <v>19</v>
      </c>
      <c r="F21" s="67" t="str">
        <f>September!B27</f>
        <v>ti</v>
      </c>
      <c r="G21" s="129" t="str">
        <f>September!C27</f>
        <v>Skema 1</v>
      </c>
      <c r="H21" s="622" t="str">
        <f>September!D27</f>
        <v/>
      </c>
      <c r="I21" s="621">
        <f>Oktober!A27</f>
        <v>19</v>
      </c>
      <c r="J21" s="67" t="str">
        <f>Oktober!B27</f>
        <v>to</v>
      </c>
      <c r="K21" s="129" t="str">
        <f>Oktober!C27</f>
        <v>Feriedag</v>
      </c>
      <c r="L21" s="622" t="str">
        <f>Oktober!D27</f>
        <v/>
      </c>
      <c r="M21" s="621">
        <f>November!A27</f>
        <v>19</v>
      </c>
      <c r="N21" s="67" t="str">
        <f>November!B27</f>
        <v>sø</v>
      </c>
      <c r="O21" s="129" t="str">
        <f>November!C27</f>
        <v>Weekend</v>
      </c>
      <c r="P21" s="622" t="str">
        <f>November!D27</f>
        <v/>
      </c>
      <c r="Q21" s="621">
        <f>December!A27</f>
        <v>19</v>
      </c>
      <c r="R21" s="67" t="str">
        <f>December!B27</f>
        <v>ti</v>
      </c>
      <c r="S21" s="129" t="str">
        <f>December!C27</f>
        <v>Skema 1</v>
      </c>
      <c r="T21" s="622" t="str">
        <f>December!D27</f>
        <v/>
      </c>
      <c r="U21" s="67">
        <f>Januar!A27</f>
        <v>19</v>
      </c>
      <c r="V21" s="67" t="str">
        <f>Januar!B27</f>
        <v>fr</v>
      </c>
      <c r="W21" s="129" t="str">
        <f>Januar!C27</f>
        <v>Skema 1</v>
      </c>
      <c r="X21" s="130" t="str">
        <f>Januar!D27</f>
        <v/>
      </c>
      <c r="Y21" s="621">
        <f>Februar!A27</f>
        <v>19</v>
      </c>
      <c r="Z21" s="67" t="str">
        <f>Februar!B27</f>
        <v>ma</v>
      </c>
      <c r="AA21" s="129" t="str">
        <f>Februar!C27</f>
        <v>Skema 1</v>
      </c>
      <c r="AB21" s="622">
        <f>Februar!D27</f>
        <v>8</v>
      </c>
      <c r="AC21" s="67">
        <f>Marts!A27</f>
        <v>19</v>
      </c>
      <c r="AD21" s="67" t="str">
        <f>Marts!B27</f>
        <v>ti</v>
      </c>
      <c r="AE21" s="129" t="str">
        <f>Marts!C27</f>
        <v>Skema 1</v>
      </c>
      <c r="AF21" s="130" t="str">
        <f>Marts!D27</f>
        <v/>
      </c>
      <c r="AG21" s="621">
        <f>April!A27</f>
        <v>19</v>
      </c>
      <c r="AH21" s="67" t="str">
        <f>April!B27</f>
        <v>fr</v>
      </c>
      <c r="AI21" s="129" t="str">
        <f>April!C27</f>
        <v>Skema 1</v>
      </c>
      <c r="AJ21" s="622" t="str">
        <f>April!D27</f>
        <v/>
      </c>
      <c r="AK21" s="629">
        <f>Maj!A27</f>
        <v>19</v>
      </c>
      <c r="AL21" s="630" t="str">
        <f>Maj!B27</f>
        <v>sø</v>
      </c>
      <c r="AM21" s="129" t="str">
        <f>Maj!C27</f>
        <v>Weekend</v>
      </c>
      <c r="AN21" s="631" t="str">
        <f>Maj!D27</f>
        <v/>
      </c>
      <c r="AO21" s="629">
        <f>Juni!A27</f>
        <v>19</v>
      </c>
      <c r="AP21" s="630" t="str">
        <f>Juni!B27</f>
        <v>on</v>
      </c>
      <c r="AQ21" s="129" t="str">
        <f>Juni!C27</f>
        <v>Skema 1</v>
      </c>
      <c r="AR21" s="631" t="str">
        <f>Juni!D27</f>
        <v/>
      </c>
      <c r="AS21" s="629">
        <f>Juli!A27</f>
        <v>19</v>
      </c>
      <c r="AT21" s="630" t="str">
        <f>Juli!B27</f>
        <v>fr</v>
      </c>
      <c r="AU21" s="129" t="str">
        <f>Juli!C27</f>
        <v>Feriedag</v>
      </c>
      <c r="AV21" s="631" t="str">
        <f>Juli!D27</f>
        <v/>
      </c>
    </row>
    <row r="22" spans="1:48" ht="24" customHeight="1">
      <c r="A22" s="621">
        <f>August!A29</f>
        <v>20</v>
      </c>
      <c r="B22" s="67" t="str">
        <f>August!B29</f>
        <v>sø</v>
      </c>
      <c r="C22" s="129" t="str">
        <f>August!C29</f>
        <v>Weekend</v>
      </c>
      <c r="D22" s="622" t="str">
        <f>August!D29</f>
        <v/>
      </c>
      <c r="E22" s="621">
        <f>September!A28</f>
        <v>20</v>
      </c>
      <c r="F22" s="67" t="str">
        <f>September!B28</f>
        <v>on</v>
      </c>
      <c r="G22" s="129" t="str">
        <f>September!C28</f>
        <v>Skema 1</v>
      </c>
      <c r="H22" s="622" t="str">
        <f>September!D28</f>
        <v/>
      </c>
      <c r="I22" s="621">
        <f>Oktober!A28</f>
        <v>20</v>
      </c>
      <c r="J22" s="67" t="str">
        <f>Oktober!B28</f>
        <v>fr</v>
      </c>
      <c r="K22" s="129" t="str">
        <f>Oktober!C28</f>
        <v>Feriedag</v>
      </c>
      <c r="L22" s="622" t="str">
        <f>Oktober!D28</f>
        <v/>
      </c>
      <c r="M22" s="621">
        <f>November!A28</f>
        <v>20</v>
      </c>
      <c r="N22" s="67" t="str">
        <f>November!B28</f>
        <v>ma</v>
      </c>
      <c r="O22" s="129" t="str">
        <f>November!C28</f>
        <v>Skema 1</v>
      </c>
      <c r="P22" s="622">
        <f>November!D28</f>
        <v>47.142857142857146</v>
      </c>
      <c r="Q22" s="621">
        <f>December!A28</f>
        <v>20</v>
      </c>
      <c r="R22" s="67" t="str">
        <f>December!B28</f>
        <v>on</v>
      </c>
      <c r="S22" s="129" t="str">
        <f>December!C28</f>
        <v>Nul-dag</v>
      </c>
      <c r="T22" s="622" t="str">
        <f>December!D28</f>
        <v/>
      </c>
      <c r="U22" s="67">
        <f>Januar!A28</f>
        <v>20</v>
      </c>
      <c r="V22" s="67" t="str">
        <f>Januar!B28</f>
        <v>lø</v>
      </c>
      <c r="W22" s="129" t="str">
        <f>Januar!C28</f>
        <v>Weekend</v>
      </c>
      <c r="X22" s="130" t="str">
        <f>Januar!D28</f>
        <v/>
      </c>
      <c r="Y22" s="621">
        <f>Februar!A28</f>
        <v>20</v>
      </c>
      <c r="Z22" s="67" t="str">
        <f>Februar!B28</f>
        <v>ti</v>
      </c>
      <c r="AA22" s="129" t="str">
        <f>Februar!C28</f>
        <v>Skema 1</v>
      </c>
      <c r="AB22" s="622" t="str">
        <f>Februar!D28</f>
        <v/>
      </c>
      <c r="AC22" s="67">
        <f>Marts!A28</f>
        <v>20</v>
      </c>
      <c r="AD22" s="67" t="str">
        <f>Marts!B28</f>
        <v>on</v>
      </c>
      <c r="AE22" s="129" t="str">
        <f>Marts!C28</f>
        <v>Skema 1</v>
      </c>
      <c r="AF22" s="130" t="str">
        <f>Marts!D28</f>
        <v/>
      </c>
      <c r="AG22" s="621">
        <f>April!A28</f>
        <v>20</v>
      </c>
      <c r="AH22" s="67" t="str">
        <f>April!B28</f>
        <v>lø</v>
      </c>
      <c r="AI22" s="129" t="str">
        <f>April!C28</f>
        <v>Weekend</v>
      </c>
      <c r="AJ22" s="622" t="str">
        <f>April!D28</f>
        <v/>
      </c>
      <c r="AK22" s="629">
        <f>Maj!A28</f>
        <v>20</v>
      </c>
      <c r="AL22" s="630" t="str">
        <f>Maj!B28</f>
        <v>ma</v>
      </c>
      <c r="AM22" s="129" t="str">
        <f>Maj!C28</f>
        <v>SH-dag</v>
      </c>
      <c r="AN22" s="631">
        <f>Maj!D28</f>
        <v>21</v>
      </c>
      <c r="AO22" s="629">
        <f>Juni!A28</f>
        <v>20</v>
      </c>
      <c r="AP22" s="630" t="str">
        <f>Juni!B28</f>
        <v>to</v>
      </c>
      <c r="AQ22" s="129" t="str">
        <f>Juni!C28</f>
        <v>Skema 1</v>
      </c>
      <c r="AR22" s="631" t="str">
        <f>Juni!D28</f>
        <v/>
      </c>
      <c r="AS22" s="629">
        <f>Juli!A28</f>
        <v>20</v>
      </c>
      <c r="AT22" s="630" t="str">
        <f>Juli!B28</f>
        <v>lø</v>
      </c>
      <c r="AU22" s="129" t="str">
        <f>Juli!C28</f>
        <v>Weekend</v>
      </c>
      <c r="AV22" s="631" t="str">
        <f>Juli!D28</f>
        <v/>
      </c>
    </row>
    <row r="23" spans="1:48" ht="24" customHeight="1">
      <c r="A23" s="621">
        <f>August!A30</f>
        <v>21</v>
      </c>
      <c r="B23" s="67" t="str">
        <f>August!B30</f>
        <v>ma</v>
      </c>
      <c r="C23" s="129" t="str">
        <f>August!C30</f>
        <v>Skema 1</v>
      </c>
      <c r="D23" s="622">
        <f>August!D30</f>
        <v>34.142857142857146</v>
      </c>
      <c r="E23" s="621">
        <f>September!A29</f>
        <v>21</v>
      </c>
      <c r="F23" s="67" t="str">
        <f>September!B29</f>
        <v>to</v>
      </c>
      <c r="G23" s="129" t="str">
        <f>September!C29</f>
        <v>Skema 1</v>
      </c>
      <c r="H23" s="622" t="str">
        <f>September!D29</f>
        <v/>
      </c>
      <c r="I23" s="621">
        <f>Oktober!A29</f>
        <v>21</v>
      </c>
      <c r="J23" s="67" t="str">
        <f>Oktober!B29</f>
        <v>lø</v>
      </c>
      <c r="K23" s="129" t="str">
        <f>Oktober!C29</f>
        <v>Weekend</v>
      </c>
      <c r="L23" s="622" t="str">
        <f>Oktober!D29</f>
        <v/>
      </c>
      <c r="M23" s="621">
        <f>November!A29</f>
        <v>21</v>
      </c>
      <c r="N23" s="67" t="str">
        <f>November!B29</f>
        <v>ti</v>
      </c>
      <c r="O23" s="129" t="str">
        <f>November!C29</f>
        <v>Skema 1</v>
      </c>
      <c r="P23" s="622" t="str">
        <f>November!D29</f>
        <v/>
      </c>
      <c r="Q23" s="621">
        <f>December!A29</f>
        <v>21</v>
      </c>
      <c r="R23" s="67" t="str">
        <f>December!B29</f>
        <v>to</v>
      </c>
      <c r="S23" s="129" t="str">
        <f>December!C29</f>
        <v>Nul-dag</v>
      </c>
      <c r="T23" s="622" t="str">
        <f>December!D29</f>
        <v/>
      </c>
      <c r="U23" s="67">
        <f>Januar!A29</f>
        <v>21</v>
      </c>
      <c r="V23" s="67" t="str">
        <f>Januar!B29</f>
        <v>sø</v>
      </c>
      <c r="W23" s="129" t="str">
        <f>Januar!C29</f>
        <v>Weekend</v>
      </c>
      <c r="X23" s="130" t="str">
        <f>Januar!D29</f>
        <v/>
      </c>
      <c r="Y23" s="621">
        <f>Februar!A29</f>
        <v>21</v>
      </c>
      <c r="Z23" s="67" t="str">
        <f>Februar!B29</f>
        <v>on</v>
      </c>
      <c r="AA23" s="129" t="str">
        <f>Februar!C29</f>
        <v>Skema 1</v>
      </c>
      <c r="AB23" s="622" t="str">
        <f>Februar!D29</f>
        <v/>
      </c>
      <c r="AC23" s="67">
        <f>Marts!A29</f>
        <v>21</v>
      </c>
      <c r="AD23" s="67" t="str">
        <f>Marts!B29</f>
        <v>to</v>
      </c>
      <c r="AE23" s="129" t="str">
        <f>Marts!C29</f>
        <v>Skema 1</v>
      </c>
      <c r="AF23" s="130" t="str">
        <f>Marts!D29</f>
        <v/>
      </c>
      <c r="AG23" s="621">
        <f>April!A29</f>
        <v>21</v>
      </c>
      <c r="AH23" s="67" t="str">
        <f>April!B29</f>
        <v>sø</v>
      </c>
      <c r="AI23" s="129" t="str">
        <f>April!C29</f>
        <v>Weekend</v>
      </c>
      <c r="AJ23" s="622" t="str">
        <f>April!D29</f>
        <v/>
      </c>
      <c r="AK23" s="629">
        <f>Maj!A29</f>
        <v>21</v>
      </c>
      <c r="AL23" s="630" t="str">
        <f>Maj!B29</f>
        <v>ti</v>
      </c>
      <c r="AM23" s="129" t="str">
        <f>Maj!C29</f>
        <v>Skema 1</v>
      </c>
      <c r="AN23" s="631" t="str">
        <f>Maj!D29</f>
        <v/>
      </c>
      <c r="AO23" s="629">
        <f>Juni!A29</f>
        <v>21</v>
      </c>
      <c r="AP23" s="630" t="str">
        <f>Juni!B29</f>
        <v>fr</v>
      </c>
      <c r="AQ23" s="129" t="str">
        <f>Juni!C29</f>
        <v>Skema 1</v>
      </c>
      <c r="AR23" s="631" t="str">
        <f>Juni!D29</f>
        <v/>
      </c>
      <c r="AS23" s="629">
        <f>Juli!A29</f>
        <v>21</v>
      </c>
      <c r="AT23" s="630" t="str">
        <f>Juli!B29</f>
        <v>sø</v>
      </c>
      <c r="AU23" s="129" t="str">
        <f>Juli!C29</f>
        <v>Weekend</v>
      </c>
      <c r="AV23" s="631" t="str">
        <f>Juli!D29</f>
        <v/>
      </c>
    </row>
    <row r="24" spans="1:48" ht="24" customHeight="1">
      <c r="A24" s="621">
        <f>August!A31</f>
        <v>22</v>
      </c>
      <c r="B24" s="67" t="str">
        <f>August!B31</f>
        <v>ti</v>
      </c>
      <c r="C24" s="129" t="str">
        <f>August!C31</f>
        <v>Skema 1</v>
      </c>
      <c r="D24" s="622" t="str">
        <f>August!D31</f>
        <v/>
      </c>
      <c r="E24" s="621">
        <f>September!A30</f>
        <v>22</v>
      </c>
      <c r="F24" s="67" t="str">
        <f>September!B30</f>
        <v>fr</v>
      </c>
      <c r="G24" s="129" t="str">
        <f>September!C30</f>
        <v>Skema 1</v>
      </c>
      <c r="H24" s="622" t="str">
        <f>September!D30</f>
        <v/>
      </c>
      <c r="I24" s="621">
        <f>Oktober!A30</f>
        <v>22</v>
      </c>
      <c r="J24" s="67" t="str">
        <f>Oktober!B30</f>
        <v>sø</v>
      </c>
      <c r="K24" s="129" t="str">
        <f>Oktober!C30</f>
        <v>Weekend</v>
      </c>
      <c r="L24" s="622" t="str">
        <f>Oktober!D30</f>
        <v/>
      </c>
      <c r="M24" s="621">
        <f>November!A30</f>
        <v>22</v>
      </c>
      <c r="N24" s="67" t="str">
        <f>November!B30</f>
        <v>on</v>
      </c>
      <c r="O24" s="129" t="str">
        <f>November!C30</f>
        <v>Skema 1</v>
      </c>
      <c r="P24" s="622" t="str">
        <f>November!D30</f>
        <v/>
      </c>
      <c r="Q24" s="621">
        <f>December!A30</f>
        <v>22</v>
      </c>
      <c r="R24" s="67" t="str">
        <f>December!B30</f>
        <v>fr</v>
      </c>
      <c r="S24" s="129" t="str">
        <f>December!C30</f>
        <v>Nul-dag</v>
      </c>
      <c r="T24" s="622" t="str">
        <f>December!D30</f>
        <v/>
      </c>
      <c r="U24" s="67">
        <f>Januar!A30</f>
        <v>22</v>
      </c>
      <c r="V24" s="67" t="str">
        <f>Januar!B30</f>
        <v>ma</v>
      </c>
      <c r="W24" s="129" t="str">
        <f>Januar!C30</f>
        <v>Skema 1</v>
      </c>
      <c r="X24" s="130">
        <f>Januar!D30</f>
        <v>4</v>
      </c>
      <c r="Y24" s="621">
        <f>Februar!A30</f>
        <v>22</v>
      </c>
      <c r="Z24" s="67" t="str">
        <f>Februar!B30</f>
        <v>to</v>
      </c>
      <c r="AA24" s="129" t="str">
        <f>Februar!C30</f>
        <v>Skema 1</v>
      </c>
      <c r="AB24" s="622" t="str">
        <f>Februar!D30</f>
        <v/>
      </c>
      <c r="AC24" s="67">
        <f>Marts!A30</f>
        <v>22</v>
      </c>
      <c r="AD24" s="67" t="str">
        <f>Marts!B30</f>
        <v>fr</v>
      </c>
      <c r="AE24" s="129" t="str">
        <f>Marts!C30</f>
        <v>Skema 1</v>
      </c>
      <c r="AF24" s="130" t="str">
        <f>Marts!D30</f>
        <v/>
      </c>
      <c r="AG24" s="621">
        <f>April!A30</f>
        <v>22</v>
      </c>
      <c r="AH24" s="67" t="str">
        <f>April!B30</f>
        <v>ma</v>
      </c>
      <c r="AI24" s="129" t="str">
        <f>April!C30</f>
        <v>Skema 1</v>
      </c>
      <c r="AJ24" s="622">
        <f>April!D30</f>
        <v>17</v>
      </c>
      <c r="AK24" s="629">
        <f>Maj!A30</f>
        <v>22</v>
      </c>
      <c r="AL24" s="630" t="str">
        <f>Maj!B30</f>
        <v>on</v>
      </c>
      <c r="AM24" s="129" t="str">
        <f>Maj!C30</f>
        <v>Skema 1</v>
      </c>
      <c r="AN24" s="631" t="str">
        <f>Maj!D30</f>
        <v/>
      </c>
      <c r="AO24" s="629">
        <f>Juni!A30</f>
        <v>22</v>
      </c>
      <c r="AP24" s="630" t="str">
        <f>Juni!B30</f>
        <v>lø</v>
      </c>
      <c r="AQ24" s="129" t="str">
        <f>Juni!C30</f>
        <v>Weekend</v>
      </c>
      <c r="AR24" s="631" t="str">
        <f>Juni!D30</f>
        <v/>
      </c>
      <c r="AS24" s="629">
        <f>Juli!A30</f>
        <v>22</v>
      </c>
      <c r="AT24" s="630" t="str">
        <f>Juli!B30</f>
        <v>ma</v>
      </c>
      <c r="AU24" s="129" t="str">
        <f>Juli!C30</f>
        <v>Feriedag</v>
      </c>
      <c r="AV24" s="631">
        <f>Juli!D30</f>
        <v>30</v>
      </c>
    </row>
    <row r="25" spans="1:48" ht="24" customHeight="1">
      <c r="A25" s="621">
        <f>August!A32</f>
        <v>23</v>
      </c>
      <c r="B25" s="67" t="str">
        <f>August!B32</f>
        <v>on</v>
      </c>
      <c r="C25" s="129" t="str">
        <f>August!C32</f>
        <v>Skema 1</v>
      </c>
      <c r="D25" s="622" t="str">
        <f>August!D32</f>
        <v/>
      </c>
      <c r="E25" s="621">
        <f>September!A31</f>
        <v>23</v>
      </c>
      <c r="F25" s="67" t="str">
        <f>September!B31</f>
        <v>lø</v>
      </c>
      <c r="G25" s="129" t="str">
        <f>September!C31</f>
        <v>Weekend</v>
      </c>
      <c r="H25" s="622" t="str">
        <f>September!D31</f>
        <v/>
      </c>
      <c r="I25" s="621">
        <f>Oktober!A31</f>
        <v>23</v>
      </c>
      <c r="J25" s="67" t="str">
        <f>Oktober!B31</f>
        <v>ma</v>
      </c>
      <c r="K25" s="129" t="str">
        <f>Oktober!C31</f>
        <v>Skema 1</v>
      </c>
      <c r="L25" s="622">
        <f>Oktober!D31</f>
        <v>43.142857142857146</v>
      </c>
      <c r="M25" s="621">
        <f>November!A31</f>
        <v>23</v>
      </c>
      <c r="N25" s="67" t="str">
        <f>November!B31</f>
        <v>to</v>
      </c>
      <c r="O25" s="129" t="str">
        <f>November!C31</f>
        <v>Skema 1</v>
      </c>
      <c r="P25" s="622" t="str">
        <f>November!D31</f>
        <v/>
      </c>
      <c r="Q25" s="621">
        <f>December!A31</f>
        <v>23</v>
      </c>
      <c r="R25" s="67" t="str">
        <f>December!B31</f>
        <v>lø</v>
      </c>
      <c r="S25" s="129" t="str">
        <f>December!C31</f>
        <v>Weekend</v>
      </c>
      <c r="T25" s="622" t="str">
        <f>December!D31</f>
        <v/>
      </c>
      <c r="U25" s="67">
        <f>Januar!A31</f>
        <v>23</v>
      </c>
      <c r="V25" s="67" t="str">
        <f>Januar!B31</f>
        <v>ti</v>
      </c>
      <c r="W25" s="129" t="str">
        <f>Januar!C31</f>
        <v>Skema 1</v>
      </c>
      <c r="X25" s="130" t="str">
        <f>Januar!D31</f>
        <v/>
      </c>
      <c r="Y25" s="621">
        <f>Februar!A31</f>
        <v>23</v>
      </c>
      <c r="Z25" s="67" t="str">
        <f>Februar!B31</f>
        <v>fr</v>
      </c>
      <c r="AA25" s="129" t="str">
        <f>Februar!C31</f>
        <v>Skema 1</v>
      </c>
      <c r="AB25" s="622" t="str">
        <f>Februar!D31</f>
        <v/>
      </c>
      <c r="AC25" s="67">
        <f>Marts!A31</f>
        <v>23</v>
      </c>
      <c r="AD25" s="67" t="str">
        <f>Marts!B31</f>
        <v>lø</v>
      </c>
      <c r="AE25" s="129" t="str">
        <f>Marts!C31</f>
        <v>Weekend</v>
      </c>
      <c r="AF25" s="130" t="str">
        <f>Marts!D31</f>
        <v/>
      </c>
      <c r="AG25" s="621">
        <f>April!A31</f>
        <v>23</v>
      </c>
      <c r="AH25" s="67" t="str">
        <f>April!B31</f>
        <v>ti</v>
      </c>
      <c r="AI25" s="129" t="str">
        <f>April!C31</f>
        <v>Skema 1</v>
      </c>
      <c r="AJ25" s="622" t="str">
        <f>April!D31</f>
        <v/>
      </c>
      <c r="AK25" s="629">
        <f>Maj!A31</f>
        <v>23</v>
      </c>
      <c r="AL25" s="630" t="str">
        <f>Maj!B31</f>
        <v>to</v>
      </c>
      <c r="AM25" s="129" t="str">
        <f>Maj!C31</f>
        <v>Skema 1</v>
      </c>
      <c r="AN25" s="631" t="str">
        <f>Maj!D31</f>
        <v/>
      </c>
      <c r="AO25" s="629">
        <f>Juni!A31</f>
        <v>23</v>
      </c>
      <c r="AP25" s="630" t="str">
        <f>Juni!B31</f>
        <v>sø</v>
      </c>
      <c r="AQ25" s="129" t="str">
        <f>Juni!C31</f>
        <v>Weekend</v>
      </c>
      <c r="AR25" s="631" t="str">
        <f>Juni!D31</f>
        <v/>
      </c>
      <c r="AS25" s="629">
        <f>Juli!A31</f>
        <v>23</v>
      </c>
      <c r="AT25" s="630" t="str">
        <f>Juli!B31</f>
        <v>ti</v>
      </c>
      <c r="AU25" s="129" t="str">
        <f>Juli!C31</f>
        <v>Feriedag</v>
      </c>
      <c r="AV25" s="631" t="str">
        <f>Juli!D31</f>
        <v/>
      </c>
    </row>
    <row r="26" spans="1:48" ht="24" customHeight="1">
      <c r="A26" s="621">
        <f>August!A33</f>
        <v>24</v>
      </c>
      <c r="B26" s="67" t="str">
        <f>August!B33</f>
        <v>to</v>
      </c>
      <c r="C26" s="129" t="str">
        <f>August!C33</f>
        <v>Skema 1</v>
      </c>
      <c r="D26" s="622" t="str">
        <f>August!D33</f>
        <v/>
      </c>
      <c r="E26" s="621">
        <f>September!A32</f>
        <v>24</v>
      </c>
      <c r="F26" s="67" t="str">
        <f>September!B32</f>
        <v>sø</v>
      </c>
      <c r="G26" s="129" t="str">
        <f>September!C32</f>
        <v>Weekend</v>
      </c>
      <c r="H26" s="622" t="str">
        <f>September!D32</f>
        <v/>
      </c>
      <c r="I26" s="621">
        <f>Oktober!A32</f>
        <v>24</v>
      </c>
      <c r="J26" s="67" t="str">
        <f>Oktober!B32</f>
        <v>ti</v>
      </c>
      <c r="K26" s="129" t="str">
        <f>Oktober!C32</f>
        <v>Skema 1</v>
      </c>
      <c r="L26" s="622" t="str">
        <f>Oktober!D32</f>
        <v/>
      </c>
      <c r="M26" s="621">
        <f>November!A32</f>
        <v>24</v>
      </c>
      <c r="N26" s="67" t="str">
        <f>November!B32</f>
        <v>fr</v>
      </c>
      <c r="O26" s="129" t="str">
        <f>November!C32</f>
        <v>Skema 1</v>
      </c>
      <c r="P26" s="622" t="str">
        <f>November!D32</f>
        <v/>
      </c>
      <c r="Q26" s="621">
        <f>December!A32</f>
        <v>24</v>
      </c>
      <c r="R26" s="67" t="str">
        <f>December!B32</f>
        <v>sø</v>
      </c>
      <c r="S26" s="129" t="str">
        <f>December!C32</f>
        <v>Weekend</v>
      </c>
      <c r="T26" s="622" t="str">
        <f>December!D32</f>
        <v/>
      </c>
      <c r="U26" s="67">
        <f>Januar!A32</f>
        <v>24</v>
      </c>
      <c r="V26" s="67" t="str">
        <f>Januar!B32</f>
        <v>on</v>
      </c>
      <c r="W26" s="129" t="str">
        <f>Januar!C32</f>
        <v>Skema 1</v>
      </c>
      <c r="X26" s="130" t="str">
        <f>Januar!D32</f>
        <v/>
      </c>
      <c r="Y26" s="621">
        <f>Februar!A32</f>
        <v>24</v>
      </c>
      <c r="Z26" s="67" t="str">
        <f>Februar!B32</f>
        <v>lø</v>
      </c>
      <c r="AA26" s="129" t="str">
        <f>Februar!C32</f>
        <v>Weekend</v>
      </c>
      <c r="AB26" s="622" t="str">
        <f>Februar!D32</f>
        <v/>
      </c>
      <c r="AC26" s="67">
        <f>Marts!A32</f>
        <v>24</v>
      </c>
      <c r="AD26" s="67" t="str">
        <f>Marts!B32</f>
        <v>sø</v>
      </c>
      <c r="AE26" s="129" t="str">
        <f>Marts!C32</f>
        <v>Weekend</v>
      </c>
      <c r="AF26" s="130" t="str">
        <f>Marts!D32</f>
        <v/>
      </c>
      <c r="AG26" s="621">
        <f>April!A32</f>
        <v>24</v>
      </c>
      <c r="AH26" s="67" t="str">
        <f>April!B32</f>
        <v>on</v>
      </c>
      <c r="AI26" s="129" t="str">
        <f>April!C32</f>
        <v>Skema 1</v>
      </c>
      <c r="AJ26" s="622" t="str">
        <f>April!D32</f>
        <v/>
      </c>
      <c r="AK26" s="629">
        <f>Maj!A32</f>
        <v>24</v>
      </c>
      <c r="AL26" s="630" t="str">
        <f>Maj!B32</f>
        <v>fr</v>
      </c>
      <c r="AM26" s="129" t="str">
        <f>Maj!C32</f>
        <v>Skema 1</v>
      </c>
      <c r="AN26" s="631" t="str">
        <f>Maj!D32</f>
        <v/>
      </c>
      <c r="AO26" s="629">
        <f>Juni!A32</f>
        <v>24</v>
      </c>
      <c r="AP26" s="630" t="str">
        <f>Juni!B32</f>
        <v>ma</v>
      </c>
      <c r="AQ26" s="129" t="str">
        <f>Juni!C32</f>
        <v>Skema 1</v>
      </c>
      <c r="AR26" s="631">
        <f>Juni!D32</f>
        <v>26</v>
      </c>
      <c r="AS26" s="629">
        <f>Juli!A32</f>
        <v>24</v>
      </c>
      <c r="AT26" s="630" t="str">
        <f>Juli!B32</f>
        <v>on</v>
      </c>
      <c r="AU26" s="129" t="str">
        <f>Juli!C32</f>
        <v>Feriedag</v>
      </c>
      <c r="AV26" s="631" t="str">
        <f>Juli!D32</f>
        <v/>
      </c>
    </row>
    <row r="27" spans="1:48" ht="24" customHeight="1">
      <c r="A27" s="621">
        <f>August!A34</f>
        <v>25</v>
      </c>
      <c r="B27" s="67" t="str">
        <f>August!B34</f>
        <v>fr</v>
      </c>
      <c r="C27" s="129" t="str">
        <f>August!C34</f>
        <v>Skema 1</v>
      </c>
      <c r="D27" s="622" t="str">
        <f>August!D34</f>
        <v/>
      </c>
      <c r="E27" s="621">
        <f>September!A33</f>
        <v>25</v>
      </c>
      <c r="F27" s="67" t="str">
        <f>September!B33</f>
        <v>ma</v>
      </c>
      <c r="G27" s="129" t="str">
        <f>September!C33</f>
        <v>Skema 1</v>
      </c>
      <c r="H27" s="622">
        <f>September!D33</f>
        <v>39.142857142857146</v>
      </c>
      <c r="I27" s="621">
        <f>Oktober!A33</f>
        <v>25</v>
      </c>
      <c r="J27" s="67" t="str">
        <f>Oktober!B33</f>
        <v>on</v>
      </c>
      <c r="K27" s="129" t="str">
        <f>Oktober!C33</f>
        <v>Skema 1</v>
      </c>
      <c r="L27" s="622" t="str">
        <f>Oktober!D33</f>
        <v/>
      </c>
      <c r="M27" s="621">
        <f>November!A33</f>
        <v>25</v>
      </c>
      <c r="N27" s="67" t="str">
        <f>November!B33</f>
        <v>lø</v>
      </c>
      <c r="O27" s="129" t="str">
        <f>November!C33</f>
        <v>Weekend</v>
      </c>
      <c r="P27" s="622" t="str">
        <f>November!D33</f>
        <v/>
      </c>
      <c r="Q27" s="621">
        <f>December!A33</f>
        <v>25</v>
      </c>
      <c r="R27" s="67" t="str">
        <f>December!B33</f>
        <v>ma</v>
      </c>
      <c r="S27" s="129" t="str">
        <f>December!C33</f>
        <v>SH-dag</v>
      </c>
      <c r="T27" s="622">
        <f>December!D33</f>
        <v>52.142857142857146</v>
      </c>
      <c r="U27" s="67">
        <f>Januar!A33</f>
        <v>25</v>
      </c>
      <c r="V27" s="67" t="str">
        <f>Januar!B33</f>
        <v>to</v>
      </c>
      <c r="W27" s="129" t="str">
        <f>Januar!C33</f>
        <v>Skema 1</v>
      </c>
      <c r="X27" s="130" t="str">
        <f>Januar!D33</f>
        <v/>
      </c>
      <c r="Y27" s="621">
        <f>Februar!A33</f>
        <v>25</v>
      </c>
      <c r="Z27" s="67" t="str">
        <f>Februar!B33</f>
        <v>sø</v>
      </c>
      <c r="AA27" s="129" t="str">
        <f>Februar!C33</f>
        <v>Weekend</v>
      </c>
      <c r="AB27" s="622" t="str">
        <f>Februar!D33</f>
        <v/>
      </c>
      <c r="AC27" s="67">
        <f>Marts!A33</f>
        <v>25</v>
      </c>
      <c r="AD27" s="67" t="str">
        <f>Marts!B33</f>
        <v>ma</v>
      </c>
      <c r="AE27" s="129" t="str">
        <f>Marts!C33</f>
        <v>Nul-dag</v>
      </c>
      <c r="AF27" s="130">
        <f>Marts!D33</f>
        <v>13</v>
      </c>
      <c r="AG27" s="621">
        <f>April!A33</f>
        <v>25</v>
      </c>
      <c r="AH27" s="67" t="str">
        <f>April!B33</f>
        <v>to</v>
      </c>
      <c r="AI27" s="129" t="str">
        <f>April!C33</f>
        <v>Skema 1</v>
      </c>
      <c r="AJ27" s="622" t="str">
        <f>April!D33</f>
        <v/>
      </c>
      <c r="AK27" s="629">
        <f>Maj!A33</f>
        <v>25</v>
      </c>
      <c r="AL27" s="630" t="str">
        <f>Maj!B33</f>
        <v>lø</v>
      </c>
      <c r="AM27" s="129" t="str">
        <f>Maj!C33</f>
        <v>Weekend</v>
      </c>
      <c r="AN27" s="631" t="str">
        <f>Maj!D33</f>
        <v/>
      </c>
      <c r="AO27" s="629">
        <f>Juni!A33</f>
        <v>25</v>
      </c>
      <c r="AP27" s="630" t="str">
        <f>Juni!B33</f>
        <v>ti</v>
      </c>
      <c r="AQ27" s="129" t="str">
        <f>Juni!C33</f>
        <v>Skema 1</v>
      </c>
      <c r="AR27" s="631" t="str">
        <f>Juni!D33</f>
        <v/>
      </c>
      <c r="AS27" s="629">
        <f>Juli!A33</f>
        <v>25</v>
      </c>
      <c r="AT27" s="630" t="str">
        <f>Juli!B33</f>
        <v>to</v>
      </c>
      <c r="AU27" s="129" t="str">
        <f>Juli!C33</f>
        <v>Feriedag</v>
      </c>
      <c r="AV27" s="631" t="str">
        <f>Juli!D33</f>
        <v/>
      </c>
    </row>
    <row r="28" spans="1:48" ht="24" customHeight="1">
      <c r="A28" s="621">
        <f>August!A35</f>
        <v>26</v>
      </c>
      <c r="B28" s="67" t="str">
        <f>August!B35</f>
        <v>lø</v>
      </c>
      <c r="C28" s="129" t="str">
        <f>August!C35</f>
        <v>Weekend</v>
      </c>
      <c r="D28" s="622" t="str">
        <f>August!D35</f>
        <v/>
      </c>
      <c r="E28" s="621">
        <f>September!A34</f>
        <v>26</v>
      </c>
      <c r="F28" s="67" t="str">
        <f>September!B34</f>
        <v>ti</v>
      </c>
      <c r="G28" s="129" t="str">
        <f>September!C34</f>
        <v>Skema 1</v>
      </c>
      <c r="H28" s="622" t="str">
        <f>September!D34</f>
        <v/>
      </c>
      <c r="I28" s="621">
        <f>Oktober!A34</f>
        <v>26</v>
      </c>
      <c r="J28" s="67" t="str">
        <f>Oktober!B34</f>
        <v>to</v>
      </c>
      <c r="K28" s="129" t="str">
        <f>Oktober!C34</f>
        <v>Skema 1</v>
      </c>
      <c r="L28" s="622" t="str">
        <f>Oktober!D34</f>
        <v/>
      </c>
      <c r="M28" s="621">
        <f>November!A34</f>
        <v>26</v>
      </c>
      <c r="N28" s="67" t="str">
        <f>November!B34</f>
        <v>sø</v>
      </c>
      <c r="O28" s="129" t="str">
        <f>November!C34</f>
        <v>Weekend</v>
      </c>
      <c r="P28" s="622" t="str">
        <f>November!D34</f>
        <v/>
      </c>
      <c r="Q28" s="621">
        <f>December!A34</f>
        <v>26</v>
      </c>
      <c r="R28" s="67" t="str">
        <f>December!B34</f>
        <v>ti</v>
      </c>
      <c r="S28" s="129" t="str">
        <f>December!C34</f>
        <v>SH-dag</v>
      </c>
      <c r="T28" s="622" t="str">
        <f>December!D34</f>
        <v/>
      </c>
      <c r="U28" s="67">
        <f>Januar!A34</f>
        <v>26</v>
      </c>
      <c r="V28" s="67" t="str">
        <f>Januar!B34</f>
        <v>fr</v>
      </c>
      <c r="W28" s="129" t="str">
        <f>Januar!C34</f>
        <v>Skema 1</v>
      </c>
      <c r="X28" s="130" t="str">
        <f>Januar!D34</f>
        <v/>
      </c>
      <c r="Y28" s="621">
        <f>Februar!A34</f>
        <v>26</v>
      </c>
      <c r="Z28" s="67" t="str">
        <f>Februar!B34</f>
        <v>ma</v>
      </c>
      <c r="AA28" s="129" t="str">
        <f>Februar!C34</f>
        <v>Skema 1</v>
      </c>
      <c r="AB28" s="622">
        <f>Februar!D34</f>
        <v>9</v>
      </c>
      <c r="AC28" s="67">
        <f>Marts!A34</f>
        <v>26</v>
      </c>
      <c r="AD28" s="67" t="str">
        <f>Marts!B34</f>
        <v>ti</v>
      </c>
      <c r="AE28" s="129" t="str">
        <f>Marts!C34</f>
        <v>Nul-dag</v>
      </c>
      <c r="AF28" s="130" t="str">
        <f>Marts!D34</f>
        <v/>
      </c>
      <c r="AG28" s="621">
        <f>April!A34</f>
        <v>26</v>
      </c>
      <c r="AH28" s="67" t="str">
        <f>April!B34</f>
        <v>fr</v>
      </c>
      <c r="AI28" s="129" t="str">
        <f>April!C34</f>
        <v>Skema 1</v>
      </c>
      <c r="AJ28" s="622" t="str">
        <f>April!D34</f>
        <v/>
      </c>
      <c r="AK28" s="629">
        <f>Maj!A34</f>
        <v>26</v>
      </c>
      <c r="AL28" s="630" t="str">
        <f>Maj!B34</f>
        <v>sø</v>
      </c>
      <c r="AM28" s="129" t="str">
        <f>Maj!C34</f>
        <v>Weekend</v>
      </c>
      <c r="AN28" s="631" t="str">
        <f>Maj!D34</f>
        <v/>
      </c>
      <c r="AO28" s="629">
        <f>Juni!A34</f>
        <v>26</v>
      </c>
      <c r="AP28" s="630" t="str">
        <f>Juni!B34</f>
        <v>on</v>
      </c>
      <c r="AQ28" s="129" t="str">
        <f>Juni!C34</f>
        <v>Skema 1</v>
      </c>
      <c r="AR28" s="631" t="str">
        <f>Juni!D34</f>
        <v/>
      </c>
      <c r="AS28" s="629">
        <f>Juli!A34</f>
        <v>26</v>
      </c>
      <c r="AT28" s="630" t="str">
        <f>Juli!B34</f>
        <v>fr</v>
      </c>
      <c r="AU28" s="129" t="str">
        <f>Juli!C34</f>
        <v>Feriedag</v>
      </c>
      <c r="AV28" s="631" t="str">
        <f>Juli!D34</f>
        <v/>
      </c>
    </row>
    <row r="29" spans="1:48" ht="24" customHeight="1">
      <c r="A29" s="621">
        <f>August!A36</f>
        <v>27</v>
      </c>
      <c r="B29" s="67" t="str">
        <f>August!B36</f>
        <v>sø</v>
      </c>
      <c r="C29" s="129" t="str">
        <f>August!C36</f>
        <v>Weekend</v>
      </c>
      <c r="D29" s="622" t="str">
        <f>August!D36</f>
        <v/>
      </c>
      <c r="E29" s="621">
        <f>September!A35</f>
        <v>27</v>
      </c>
      <c r="F29" s="67" t="str">
        <f>September!B35</f>
        <v>on</v>
      </c>
      <c r="G29" s="129" t="str">
        <f>September!C35</f>
        <v>Skema 1</v>
      </c>
      <c r="H29" s="622" t="str">
        <f>September!D35</f>
        <v/>
      </c>
      <c r="I29" s="621">
        <f>Oktober!A35</f>
        <v>27</v>
      </c>
      <c r="J29" s="67" t="str">
        <f>Oktober!B35</f>
        <v>fr</v>
      </c>
      <c r="K29" s="129" t="str">
        <f>Oktober!C35</f>
        <v>Skema 1</v>
      </c>
      <c r="L29" s="622" t="str">
        <f>Oktober!D35</f>
        <v/>
      </c>
      <c r="M29" s="621">
        <f>November!A35</f>
        <v>27</v>
      </c>
      <c r="N29" s="67" t="str">
        <f>November!B35</f>
        <v>ma</v>
      </c>
      <c r="O29" s="129" t="str">
        <f>November!C35</f>
        <v>Skema 1</v>
      </c>
      <c r="P29" s="622">
        <f>November!D35</f>
        <v>48.142857142857146</v>
      </c>
      <c r="Q29" s="621">
        <f>December!A35</f>
        <v>27</v>
      </c>
      <c r="R29" s="67" t="str">
        <f>December!B35</f>
        <v>on</v>
      </c>
      <c r="S29" s="129" t="str">
        <f>December!C35</f>
        <v>Nul-dag</v>
      </c>
      <c r="T29" s="622" t="str">
        <f>December!D35</f>
        <v/>
      </c>
      <c r="U29" s="67">
        <f>Januar!A35</f>
        <v>27</v>
      </c>
      <c r="V29" s="67" t="str">
        <f>Januar!B35</f>
        <v>lø</v>
      </c>
      <c r="W29" s="129" t="str">
        <f>Januar!C35</f>
        <v>Weekend</v>
      </c>
      <c r="X29" s="130" t="str">
        <f>Januar!D35</f>
        <v/>
      </c>
      <c r="Y29" s="621">
        <f>Februar!A35</f>
        <v>27</v>
      </c>
      <c r="Z29" s="67" t="str">
        <f>Februar!B35</f>
        <v>ti</v>
      </c>
      <c r="AA29" s="129" t="str">
        <f>Februar!C35</f>
        <v>Skema 1</v>
      </c>
      <c r="AB29" s="622" t="str">
        <f>Februar!D35</f>
        <v/>
      </c>
      <c r="AC29" s="67">
        <f>Marts!A35</f>
        <v>27</v>
      </c>
      <c r="AD29" s="67" t="str">
        <f>Marts!B35</f>
        <v>on</v>
      </c>
      <c r="AE29" s="129" t="str">
        <f>Marts!C35</f>
        <v>Nul-dag</v>
      </c>
      <c r="AF29" s="130" t="str">
        <f>Marts!D35</f>
        <v/>
      </c>
      <c r="AG29" s="621">
        <f>April!A35</f>
        <v>27</v>
      </c>
      <c r="AH29" s="67" t="str">
        <f>April!B35</f>
        <v>lø</v>
      </c>
      <c r="AI29" s="129" t="str">
        <f>April!C35</f>
        <v>Weekend</v>
      </c>
      <c r="AJ29" s="622" t="str">
        <f>April!D35</f>
        <v/>
      </c>
      <c r="AK29" s="629">
        <f>Maj!A35</f>
        <v>27</v>
      </c>
      <c r="AL29" s="630" t="str">
        <f>Maj!B35</f>
        <v>ma</v>
      </c>
      <c r="AM29" s="129" t="str">
        <f>Maj!C35</f>
        <v>Skema 1</v>
      </c>
      <c r="AN29" s="631">
        <f>Maj!D35</f>
        <v>22</v>
      </c>
      <c r="AO29" s="629">
        <f>Juni!A35</f>
        <v>27</v>
      </c>
      <c r="AP29" s="630" t="str">
        <f>Juni!B35</f>
        <v>to</v>
      </c>
      <c r="AQ29" s="129" t="str">
        <f>Juni!C35</f>
        <v>Skema 1</v>
      </c>
      <c r="AR29" s="631" t="str">
        <f>Juni!D35</f>
        <v/>
      </c>
      <c r="AS29" s="629">
        <f>Juli!A35</f>
        <v>27</v>
      </c>
      <c r="AT29" s="630" t="str">
        <f>Juli!B35</f>
        <v>lø</v>
      </c>
      <c r="AU29" s="129" t="str">
        <f>Juli!C35</f>
        <v>Weekend</v>
      </c>
      <c r="AV29" s="631" t="str">
        <f>Juli!D35</f>
        <v/>
      </c>
    </row>
    <row r="30" spans="1:48" ht="24" customHeight="1">
      <c r="A30" s="621">
        <f>August!A37</f>
        <v>28</v>
      </c>
      <c r="B30" s="67" t="str">
        <f>August!B37</f>
        <v>ma</v>
      </c>
      <c r="C30" s="129" t="str">
        <f>August!C37</f>
        <v>Skema 1</v>
      </c>
      <c r="D30" s="622">
        <f>August!D37</f>
        <v>35.142857142857146</v>
      </c>
      <c r="E30" s="621">
        <f>September!A36</f>
        <v>28</v>
      </c>
      <c r="F30" s="67" t="str">
        <f>September!B36</f>
        <v>to</v>
      </c>
      <c r="G30" s="129" t="str">
        <f>September!C36</f>
        <v>Skema 1</v>
      </c>
      <c r="H30" s="622" t="str">
        <f>September!D36</f>
        <v/>
      </c>
      <c r="I30" s="621">
        <f>Oktober!A36</f>
        <v>28</v>
      </c>
      <c r="J30" s="67" t="str">
        <f>Oktober!B36</f>
        <v>lø</v>
      </c>
      <c r="K30" s="129" t="str">
        <f>Oktober!C36</f>
        <v>Weekend</v>
      </c>
      <c r="L30" s="622" t="str">
        <f>Oktober!D36</f>
        <v/>
      </c>
      <c r="M30" s="621">
        <f>November!A36</f>
        <v>28</v>
      </c>
      <c r="N30" s="67" t="str">
        <f>November!B36</f>
        <v>ti</v>
      </c>
      <c r="O30" s="129" t="str">
        <f>November!C36</f>
        <v>Skema 1</v>
      </c>
      <c r="P30" s="622" t="str">
        <f>November!D36</f>
        <v/>
      </c>
      <c r="Q30" s="621">
        <f>December!A36</f>
        <v>28</v>
      </c>
      <c r="R30" s="67" t="str">
        <f>December!B36</f>
        <v>to</v>
      </c>
      <c r="S30" s="129" t="str">
        <f>December!C36</f>
        <v>Nul-dag</v>
      </c>
      <c r="T30" s="622" t="str">
        <f>December!D36</f>
        <v/>
      </c>
      <c r="U30" s="67">
        <f>Januar!A36</f>
        <v>28</v>
      </c>
      <c r="V30" s="67" t="str">
        <f>Januar!B36</f>
        <v>sø</v>
      </c>
      <c r="W30" s="129" t="str">
        <f>Januar!C36</f>
        <v>Weekend</v>
      </c>
      <c r="X30" s="130" t="str">
        <f>Januar!D36</f>
        <v/>
      </c>
      <c r="Y30" s="621">
        <f>Februar!A36</f>
        <v>28</v>
      </c>
      <c r="Z30" s="67" t="str">
        <f>Februar!B36</f>
        <v>on</v>
      </c>
      <c r="AA30" s="129" t="str">
        <f>Februar!C36</f>
        <v>Skema 1</v>
      </c>
      <c r="AB30" s="622" t="str">
        <f>Februar!D36</f>
        <v/>
      </c>
      <c r="AC30" s="67">
        <f>Marts!A36</f>
        <v>28</v>
      </c>
      <c r="AD30" s="67" t="str">
        <f>Marts!B36</f>
        <v>to</v>
      </c>
      <c r="AE30" s="129" t="str">
        <f>Marts!C36</f>
        <v>SH-dag</v>
      </c>
      <c r="AF30" s="130" t="str">
        <f>Marts!D36</f>
        <v/>
      </c>
      <c r="AG30" s="621">
        <f>April!A36</f>
        <v>28</v>
      </c>
      <c r="AH30" s="67" t="str">
        <f>April!B36</f>
        <v>sø</v>
      </c>
      <c r="AI30" s="129" t="str">
        <f>April!C36</f>
        <v>Weekend</v>
      </c>
      <c r="AJ30" s="622" t="str">
        <f>April!D36</f>
        <v/>
      </c>
      <c r="AK30" s="629">
        <f>Maj!A36</f>
        <v>28</v>
      </c>
      <c r="AL30" s="630" t="str">
        <f>Maj!B36</f>
        <v>ti</v>
      </c>
      <c r="AM30" s="129" t="str">
        <f>Maj!C36</f>
        <v>Skema 1</v>
      </c>
      <c r="AN30" s="631" t="str">
        <f>Maj!D36</f>
        <v/>
      </c>
      <c r="AO30" s="629">
        <f>Juni!A36</f>
        <v>28</v>
      </c>
      <c r="AP30" s="630" t="str">
        <f>Juni!B36</f>
        <v>fr</v>
      </c>
      <c r="AQ30" s="129" t="str">
        <f>Juni!C36</f>
        <v>Skema 1</v>
      </c>
      <c r="AR30" s="631" t="str">
        <f>Juni!D36</f>
        <v/>
      </c>
      <c r="AS30" s="629">
        <f>Juli!A36</f>
        <v>28</v>
      </c>
      <c r="AT30" s="630" t="str">
        <f>Juli!B36</f>
        <v>sø</v>
      </c>
      <c r="AU30" s="129" t="str">
        <f>Juli!C36</f>
        <v>Weekend</v>
      </c>
      <c r="AV30" s="631" t="str">
        <f>Juli!D36</f>
        <v/>
      </c>
    </row>
    <row r="31" spans="1:48" ht="24" customHeight="1">
      <c r="A31" s="621">
        <f>August!A38</f>
        <v>29</v>
      </c>
      <c r="B31" s="67" t="str">
        <f>August!B38</f>
        <v>ti</v>
      </c>
      <c r="C31" s="129" t="str">
        <f>August!C38</f>
        <v>Skema 1</v>
      </c>
      <c r="D31" s="622" t="str">
        <f>August!D38</f>
        <v/>
      </c>
      <c r="E31" s="621">
        <f>September!A37</f>
        <v>29</v>
      </c>
      <c r="F31" s="67" t="str">
        <f>September!B37</f>
        <v>fr</v>
      </c>
      <c r="G31" s="129" t="str">
        <f>September!C37</f>
        <v>Skema 1</v>
      </c>
      <c r="H31" s="622" t="str">
        <f>September!D37</f>
        <v/>
      </c>
      <c r="I31" s="621">
        <f>Oktober!A37</f>
        <v>29</v>
      </c>
      <c r="J31" s="67" t="str">
        <f>Oktober!B37</f>
        <v>sø</v>
      </c>
      <c r="K31" s="129" t="str">
        <f>Oktober!C37</f>
        <v>Weekend</v>
      </c>
      <c r="L31" s="622" t="str">
        <f>Oktober!D37</f>
        <v/>
      </c>
      <c r="M31" s="621">
        <f>November!A37</f>
        <v>29</v>
      </c>
      <c r="N31" s="67" t="str">
        <f>November!B37</f>
        <v>on</v>
      </c>
      <c r="O31" s="129" t="str">
        <f>November!C37</f>
        <v>Skema 1</v>
      </c>
      <c r="P31" s="622" t="str">
        <f>November!D37</f>
        <v/>
      </c>
      <c r="Q31" s="621">
        <f>December!A37</f>
        <v>29</v>
      </c>
      <c r="R31" s="67" t="str">
        <f>December!B37</f>
        <v>fr</v>
      </c>
      <c r="S31" s="129" t="str">
        <f>December!C37</f>
        <v>Nul-dag</v>
      </c>
      <c r="T31" s="622" t="str">
        <f>December!D37</f>
        <v/>
      </c>
      <c r="U31" s="67">
        <f>Januar!A37</f>
        <v>29</v>
      </c>
      <c r="V31" s="67" t="str">
        <f>Januar!B37</f>
        <v>ma</v>
      </c>
      <c r="W31" s="129" t="str">
        <f>Januar!C37</f>
        <v>Skema 1</v>
      </c>
      <c r="X31" s="130">
        <f>Januar!D37</f>
        <v>5</v>
      </c>
      <c r="Y31" s="623">
        <f>Februar!A37</f>
        <v>29</v>
      </c>
      <c r="Z31" s="624" t="str">
        <f>Februar!B37</f>
        <v>to</v>
      </c>
      <c r="AA31" s="632" t="str">
        <f>Februar!C37</f>
        <v>Skema 1</v>
      </c>
      <c r="AB31" s="625" t="str">
        <f>Februar!D37</f>
        <v/>
      </c>
      <c r="AC31" s="67">
        <f>Marts!A37</f>
        <v>29</v>
      </c>
      <c r="AD31" s="67" t="str">
        <f>Marts!B37</f>
        <v>fr</v>
      </c>
      <c r="AE31" s="129" t="str">
        <f>Marts!C37</f>
        <v>SH-dag</v>
      </c>
      <c r="AF31" s="130" t="str">
        <f>Marts!D37</f>
        <v/>
      </c>
      <c r="AG31" s="621">
        <f>April!A37</f>
        <v>29</v>
      </c>
      <c r="AH31" s="67" t="str">
        <f>April!B37</f>
        <v>ma</v>
      </c>
      <c r="AI31" s="129" t="str">
        <f>April!C37</f>
        <v>Skema 1</v>
      </c>
      <c r="AJ31" s="622">
        <f>April!D37</f>
        <v>18</v>
      </c>
      <c r="AK31" s="629">
        <f>Maj!A37</f>
        <v>29</v>
      </c>
      <c r="AL31" s="630" t="str">
        <f>Maj!B37</f>
        <v>on</v>
      </c>
      <c r="AM31" s="129" t="str">
        <f>Maj!C37</f>
        <v>Skema 1</v>
      </c>
      <c r="AN31" s="631" t="str">
        <f>Maj!D37</f>
        <v/>
      </c>
      <c r="AO31" s="629">
        <f>Juni!A37</f>
        <v>29</v>
      </c>
      <c r="AP31" s="630" t="str">
        <f>Juni!B37</f>
        <v>lø</v>
      </c>
      <c r="AQ31" s="129" t="str">
        <f>Juni!C37</f>
        <v>Weekend</v>
      </c>
      <c r="AR31" s="631" t="str">
        <f>Juni!D37</f>
        <v/>
      </c>
      <c r="AS31" s="629">
        <f>Juli!A37</f>
        <v>29</v>
      </c>
      <c r="AT31" s="630" t="str">
        <f>Juli!B37</f>
        <v>ma</v>
      </c>
      <c r="AU31" s="129" t="str">
        <f>Juli!C37</f>
        <v>Feriedag</v>
      </c>
      <c r="AV31" s="631">
        <f>Juli!D37</f>
        <v>31</v>
      </c>
    </row>
    <row r="32" spans="1:48" ht="24" customHeight="1">
      <c r="A32" s="621">
        <f>August!A39</f>
        <v>30</v>
      </c>
      <c r="B32" s="67" t="str">
        <f>August!B39</f>
        <v>on</v>
      </c>
      <c r="C32" s="129" t="str">
        <f>August!C39</f>
        <v>Skema 1</v>
      </c>
      <c r="D32" s="622" t="str">
        <f>August!D39</f>
        <v/>
      </c>
      <c r="E32" s="623">
        <f>September!A38</f>
        <v>30</v>
      </c>
      <c r="F32" s="624" t="str">
        <f>September!B38</f>
        <v>lø</v>
      </c>
      <c r="G32" s="115" t="str">
        <f>September!C38</f>
        <v>Weekend</v>
      </c>
      <c r="H32" s="625" t="str">
        <f>September!D38</f>
        <v/>
      </c>
      <c r="I32" s="621">
        <f>Oktober!A38</f>
        <v>30</v>
      </c>
      <c r="J32" s="67" t="str">
        <f>Oktober!B38</f>
        <v>ma</v>
      </c>
      <c r="K32" s="129" t="str">
        <f>Oktober!C38</f>
        <v>Skema 1</v>
      </c>
      <c r="L32" s="622">
        <f>Oktober!D38</f>
        <v>44.142857142857146</v>
      </c>
      <c r="M32" s="623">
        <f>November!A38</f>
        <v>30</v>
      </c>
      <c r="N32" s="624" t="str">
        <f>November!B38</f>
        <v>to</v>
      </c>
      <c r="O32" s="115" t="str">
        <f>November!C38</f>
        <v>Skema 1</v>
      </c>
      <c r="P32" s="625" t="str">
        <f>November!D38</f>
        <v/>
      </c>
      <c r="Q32" s="621">
        <f>December!A38</f>
        <v>30</v>
      </c>
      <c r="R32" s="67" t="str">
        <f>December!B38</f>
        <v>lø</v>
      </c>
      <c r="S32" s="129" t="str">
        <f>December!C38</f>
        <v>Weekend</v>
      </c>
      <c r="T32" s="622" t="str">
        <f>December!D38</f>
        <v/>
      </c>
      <c r="U32" s="67">
        <f>Januar!A38</f>
        <v>30</v>
      </c>
      <c r="V32" s="67" t="str">
        <f>Januar!B38</f>
        <v>ti</v>
      </c>
      <c r="W32" s="129" t="str">
        <f>Januar!C38</f>
        <v>Skema 1</v>
      </c>
      <c r="X32" s="130" t="str">
        <f>Januar!D38</f>
        <v/>
      </c>
      <c r="Y32" s="81"/>
      <c r="Z32" s="82"/>
      <c r="AA32" s="83"/>
      <c r="AB32" s="84"/>
      <c r="AC32" s="67">
        <f>Marts!A38</f>
        <v>30</v>
      </c>
      <c r="AD32" s="67" t="str">
        <f>Marts!B38</f>
        <v>lø</v>
      </c>
      <c r="AE32" s="129" t="str">
        <f>Marts!C38</f>
        <v>Weekend</v>
      </c>
      <c r="AF32" s="130" t="str">
        <f>Marts!D38</f>
        <v/>
      </c>
      <c r="AG32" s="623">
        <f>April!A38</f>
        <v>30</v>
      </c>
      <c r="AH32" s="624" t="str">
        <f>April!B38</f>
        <v>ti</v>
      </c>
      <c r="AI32" s="115" t="str">
        <f>April!C38</f>
        <v>Skema 1</v>
      </c>
      <c r="AJ32" s="625" t="str">
        <f>April!D38</f>
        <v/>
      </c>
      <c r="AK32" s="629">
        <f>Maj!A38</f>
        <v>30</v>
      </c>
      <c r="AL32" s="630" t="str">
        <f>Maj!B38</f>
        <v>to</v>
      </c>
      <c r="AM32" s="129" t="str">
        <f>Maj!C38</f>
        <v>Skema 1</v>
      </c>
      <c r="AN32" s="631" t="str">
        <f>Maj!D38</f>
        <v/>
      </c>
      <c r="AO32" s="623">
        <f>Juni!A38</f>
        <v>30</v>
      </c>
      <c r="AP32" s="624" t="str">
        <f>Juni!B38</f>
        <v>sø</v>
      </c>
      <c r="AQ32" s="115" t="str">
        <f>Juni!C38</f>
        <v>Weekend</v>
      </c>
      <c r="AR32" s="625" t="str">
        <f>Juni!D38</f>
        <v/>
      </c>
      <c r="AS32" s="629">
        <f>Juli!A38</f>
        <v>30</v>
      </c>
      <c r="AT32" s="630" t="str">
        <f>Juli!B38</f>
        <v>ti</v>
      </c>
      <c r="AU32" s="129" t="str">
        <f>Juli!C38</f>
        <v>Feriedag</v>
      </c>
      <c r="AV32" s="631" t="str">
        <f>Juli!D38</f>
        <v/>
      </c>
    </row>
    <row r="33" spans="1:48" ht="24" customHeight="1">
      <c r="A33" s="623">
        <f>August!A40</f>
        <v>31</v>
      </c>
      <c r="B33" s="624" t="str">
        <f>August!B40</f>
        <v>to</v>
      </c>
      <c r="C33" s="115" t="str">
        <f>August!C40</f>
        <v>Skema 1</v>
      </c>
      <c r="D33" s="625" t="str">
        <f>August!D40</f>
        <v/>
      </c>
      <c r="E33" s="69"/>
      <c r="F33" s="69"/>
      <c r="G33" s="70"/>
      <c r="H33" s="71"/>
      <c r="I33" s="623">
        <f>Oktober!A39</f>
        <v>31</v>
      </c>
      <c r="J33" s="624" t="str">
        <f>Oktober!B39</f>
        <v>ti</v>
      </c>
      <c r="K33" s="115" t="str">
        <f>Oktober!C39</f>
        <v>Skema 1</v>
      </c>
      <c r="L33" s="625" t="str">
        <f>Oktober!D39</f>
        <v/>
      </c>
      <c r="M33" s="69"/>
      <c r="N33" s="69"/>
      <c r="O33" s="70"/>
      <c r="P33" s="72"/>
      <c r="Q33" s="623">
        <f>December!A39</f>
        <v>31</v>
      </c>
      <c r="R33" s="624" t="str">
        <f>December!B39</f>
        <v>sø</v>
      </c>
      <c r="S33" s="115" t="str">
        <f>December!C39</f>
        <v>Weekend</v>
      </c>
      <c r="T33" s="625" t="str">
        <f>December!D39</f>
        <v/>
      </c>
      <c r="U33" s="67">
        <f>Januar!A39</f>
        <v>31</v>
      </c>
      <c r="V33" s="67" t="str">
        <f>Januar!B39</f>
        <v>on</v>
      </c>
      <c r="W33" s="115" t="str">
        <f>Januar!C39</f>
        <v>Skema 1</v>
      </c>
      <c r="X33" s="130" t="str">
        <f>Januar!D39</f>
        <v/>
      </c>
      <c r="Y33" s="81"/>
      <c r="Z33" s="82"/>
      <c r="AA33" s="83"/>
      <c r="AB33" s="84"/>
      <c r="AC33" s="67">
        <f>Marts!A39</f>
        <v>31</v>
      </c>
      <c r="AD33" s="67" t="str">
        <f>Marts!B39</f>
        <v>sø</v>
      </c>
      <c r="AE33" s="115" t="str">
        <f>Marts!C39</f>
        <v>Weekend</v>
      </c>
      <c r="AF33" s="130" t="str">
        <f>Marts!D39</f>
        <v/>
      </c>
      <c r="AG33" s="68"/>
      <c r="AH33" s="69"/>
      <c r="AI33" s="70"/>
      <c r="AJ33" s="626"/>
      <c r="AK33" s="623">
        <f>Maj!A39</f>
        <v>31</v>
      </c>
      <c r="AL33" s="624" t="str">
        <f>Maj!B39</f>
        <v>fr</v>
      </c>
      <c r="AM33" s="115" t="str">
        <f>Maj!C39</f>
        <v>Skema 1</v>
      </c>
      <c r="AN33" s="625" t="str">
        <f>Maj!D39</f>
        <v/>
      </c>
      <c r="AO33" s="82"/>
      <c r="AP33" s="82"/>
      <c r="AQ33" s="83"/>
      <c r="AR33" s="84"/>
      <c r="AS33" s="623">
        <f>Juli!A39</f>
        <v>31</v>
      </c>
      <c r="AT33" s="624" t="str">
        <f>Juli!B39</f>
        <v>on</v>
      </c>
      <c r="AU33" s="115" t="str">
        <f>Juli!C39</f>
        <v>Feriedag</v>
      </c>
      <c r="AV33" s="625" t="str">
        <f>Juli!D39</f>
        <v/>
      </c>
    </row>
    <row r="34" spans="1:48" ht="13">
      <c r="A34" s="74"/>
      <c r="B34" s="584">
        <f>August!H44-August!H46</f>
        <v>23</v>
      </c>
      <c r="C34" s="74" t="s">
        <v>116</v>
      </c>
      <c r="D34" s="74"/>
      <c r="E34" s="74"/>
      <c r="F34" s="584">
        <f>September!H42-September!H44</f>
        <v>21</v>
      </c>
      <c r="G34" s="74" t="s">
        <v>116</v>
      </c>
      <c r="H34" s="74"/>
      <c r="I34" s="73"/>
      <c r="J34" s="671">
        <f>Oktober!H43-Oktober!H45</f>
        <v>22</v>
      </c>
      <c r="K34" s="73" t="s">
        <v>116</v>
      </c>
      <c r="L34" s="73"/>
      <c r="M34" s="74"/>
      <c r="N34" s="584">
        <f>November!H42-November!H44</f>
        <v>22</v>
      </c>
      <c r="O34" s="74" t="s">
        <v>116</v>
      </c>
      <c r="P34" s="74"/>
      <c r="Q34" s="73"/>
      <c r="R34" s="671">
        <f>December!H43-December!H45</f>
        <v>19</v>
      </c>
      <c r="S34" s="73" t="s">
        <v>116</v>
      </c>
      <c r="T34" s="73"/>
      <c r="U34" s="75"/>
      <c r="V34" s="672">
        <f>Januar!H43-Januar!H45</f>
        <v>22</v>
      </c>
      <c r="W34" s="73" t="s">
        <v>116</v>
      </c>
      <c r="X34" s="76"/>
      <c r="Y34" s="74"/>
      <c r="Z34" s="584">
        <f>Februar!H41-Februar!H43</f>
        <v>21</v>
      </c>
      <c r="AA34" s="74" t="s">
        <v>116</v>
      </c>
      <c r="AB34" s="74"/>
      <c r="AC34" s="73"/>
      <c r="AD34" s="671">
        <f>Marts!H43-Marts!H45</f>
        <v>19</v>
      </c>
      <c r="AE34" s="73" t="s">
        <v>116</v>
      </c>
      <c r="AF34" s="73"/>
      <c r="AG34" s="74"/>
      <c r="AH34" s="584">
        <f>April!H42-April!H44</f>
        <v>21</v>
      </c>
      <c r="AI34" s="74" t="s">
        <v>116</v>
      </c>
      <c r="AJ34" s="74"/>
      <c r="AK34" s="73"/>
      <c r="AL34" s="671">
        <f>Maj!H43-Maj!H45</f>
        <v>21</v>
      </c>
      <c r="AM34" s="73" t="s">
        <v>116</v>
      </c>
      <c r="AN34" s="73"/>
      <c r="AO34" s="74"/>
      <c r="AP34" s="584">
        <f>Juni!H42-Juni!H44</f>
        <v>20</v>
      </c>
      <c r="AQ34" s="74" t="s">
        <v>116</v>
      </c>
      <c r="AR34" s="74"/>
      <c r="AS34" s="73"/>
      <c r="AT34" s="583">
        <f>Juli!H43-Juli!H45</f>
        <v>23</v>
      </c>
      <c r="AU34" s="73" t="s">
        <v>116</v>
      </c>
      <c r="AV34" s="73"/>
    </row>
    <row r="35" spans="1:48" ht="24" customHeight="1">
      <c r="A35" s="160" t="s">
        <v>146</v>
      </c>
      <c r="B35" s="161"/>
      <c r="C35" s="161"/>
      <c r="D35" s="162"/>
      <c r="E35" s="163"/>
      <c r="F35" s="161"/>
      <c r="G35" s="164">
        <f>August!D77-August!D75+September!D76-September!D75+Oktober!D77-Oktober!D76+November!D76-November!D75+December!D77-December!D76+Januar!D77-Januar!D76+Februar!D75-Februar!D74+Marts!D77-Marts!D76+April!D76-April!D75+Maj!D77-Maj!D76+Juni!D76-Juni!D75+Juli!D77-Juli!D76</f>
        <v>366</v>
      </c>
      <c r="H35" s="98"/>
      <c r="I35" s="137" t="s">
        <v>144</v>
      </c>
      <c r="J35" s="138"/>
      <c r="K35" s="138"/>
      <c r="L35" s="138"/>
      <c r="M35" s="139"/>
      <c r="N35" s="138"/>
      <c r="O35" s="140">
        <f>August!D71+August!A87+September!A86+September!D70+Oktober!D71+Oktober!A87+November!A86+November!D70+December!D71+December!A87+Januar!D71+Januar!A87+Februar!D69+Februar!A85+Marts!A87+Marts!D71+April!A86+April!D70+Maj!D71+Maj!A87+Juni!D70+Juni!A86+Juli!A87+Juli!D71</f>
        <v>104</v>
      </c>
      <c r="P35" s="98"/>
      <c r="Q35" s="141" t="s">
        <v>145</v>
      </c>
      <c r="R35" s="142"/>
      <c r="S35" s="142"/>
      <c r="T35" s="142"/>
      <c r="U35" s="143"/>
      <c r="V35" s="142"/>
      <c r="W35" s="144">
        <f>August!D72+September!D71+Oktober!D72+November!D71+December!D72+Januar!D72+Februar!D70+Marts!D72+April!D71+Maj!D72+Juni!D71+Juli!D72</f>
        <v>8</v>
      </c>
      <c r="X35" s="98"/>
      <c r="Y35" s="145" t="s">
        <v>147</v>
      </c>
      <c r="Z35" s="146"/>
      <c r="AA35" s="146"/>
      <c r="AB35" s="146"/>
      <c r="AC35" s="147"/>
      <c r="AD35" s="146"/>
      <c r="AE35" s="148">
        <f>August!D73+September!D72+Oktober!D73+November!D72+December!D73+Januar!D73+Februar!D71+Marts!D73+April!D72+Maj!D73+Juni!D72+Juli!D73</f>
        <v>25</v>
      </c>
      <c r="AF35" s="98"/>
      <c r="AG35" s="499" t="s">
        <v>150</v>
      </c>
      <c r="AH35" s="500"/>
      <c r="AI35" s="500"/>
      <c r="AJ35" s="500"/>
      <c r="AK35" s="501"/>
      <c r="AL35" s="500"/>
      <c r="AM35" s="502">
        <f>August!D74+September!D73+Oktober!D74+November!D73+December!D74+Januar!D74+Februar!D72+Marts!D74+April!D73+Maj!D74+Juni!D73+Juli!D74</f>
        <v>29</v>
      </c>
      <c r="AP35" s="184" t="s">
        <v>163</v>
      </c>
      <c r="AQ35" s="182"/>
      <c r="AR35" s="182"/>
      <c r="AS35" s="182"/>
      <c r="AT35" s="183"/>
      <c r="AU35" s="182"/>
      <c r="AV35" s="494">
        <f>August!D75+September!D75+Oktober!D76+November!D75+December!D76+Januar!D76+Februar!D74+Marts!D76+April!D75+Maj!D76+Juni!D75+Juli!D76</f>
        <v>0</v>
      </c>
    </row>
    <row r="36" spans="1:48" ht="13" thickBot="1"/>
    <row r="37" spans="1:48" ht="24" customHeight="1" thickBot="1">
      <c r="A37" s="101" t="s">
        <v>99</v>
      </c>
      <c r="B37" s="99"/>
      <c r="C37" s="99"/>
      <c r="D37" s="102"/>
      <c r="E37" s="100"/>
      <c r="F37" s="99"/>
      <c r="G37" s="136">
        <f>August!G87+September!G86+Oktober!G87+November!G86+December!G87+Januar!G87+Februar!G85+Marts!G87+April!G86+Maj!G87+Juni!G86+Juli!G87</f>
        <v>200</v>
      </c>
      <c r="I37" s="151" t="s">
        <v>148</v>
      </c>
      <c r="J37" s="152"/>
      <c r="K37" s="152"/>
      <c r="L37" s="152"/>
      <c r="M37" s="153"/>
      <c r="N37" s="152"/>
      <c r="O37" s="180">
        <f>August!D68+September!D67+Oktober!D68+November!D67+December!D68+Januar!D68+Februar!D66+Marts!D68+April!D67+Maj!D68+Juni!D67+Juli!D68</f>
        <v>0</v>
      </c>
      <c r="Q37" s="149" t="s">
        <v>149</v>
      </c>
      <c r="R37" s="150"/>
      <c r="S37" s="150"/>
      <c r="T37" s="150"/>
      <c r="U37" s="154"/>
      <c r="V37" s="150"/>
      <c r="W37" s="155">
        <f>August!D69+September!D68+Oktober!D69+November!D68+December!D69+Januar!D69+Februar!D67+Marts!D69+April!D68+Maj!D69+Juni!D68+Juli!D69</f>
        <v>0</v>
      </c>
      <c r="Y37" s="156" t="s">
        <v>151</v>
      </c>
      <c r="Z37" s="157"/>
      <c r="AA37" s="157"/>
      <c r="AB37" s="157"/>
      <c r="AC37" s="158"/>
      <c r="AD37" s="157"/>
      <c r="AE37" s="159">
        <f>August!D70+September!D69+Oktober!D70+November!D69+December!D70+Januar!D70+Februar!D68+Marts!D70+April!D69+Maj!D70+Juni!D69+Juli!D70</f>
        <v>0</v>
      </c>
      <c r="AG37" s="165" t="s">
        <v>443</v>
      </c>
      <c r="AH37" s="166"/>
      <c r="AI37" s="166"/>
      <c r="AJ37" s="166"/>
      <c r="AK37" s="167"/>
      <c r="AL37" s="166"/>
      <c r="AM37" s="168">
        <f>G37+O37+W37</f>
        <v>200</v>
      </c>
      <c r="AP37" s="487" t="s">
        <v>447</v>
      </c>
      <c r="AQ37" s="488"/>
      <c r="AR37" s="488"/>
      <c r="AS37" s="488"/>
      <c r="AT37" s="489"/>
      <c r="AU37" s="488"/>
      <c r="AV37" s="490">
        <f>August!D76+September!D74+Oktober!D75+November!D74+December!D75+Januar!D75+Februar!D73+Marts!D75+April!D74+Maj!D75+Juni!D74+Juli!D75</f>
        <v>0</v>
      </c>
    </row>
    <row r="39" spans="1:48">
      <c r="A39" s="674" t="s">
        <v>617</v>
      </c>
      <c r="B39" s="674"/>
      <c r="C39" s="674"/>
      <c r="D39" s="1304">
        <f>B34+F34+J34+N34+R34+V34+Z34+AD34+AH34+AL34+AP34+AT34</f>
        <v>254</v>
      </c>
      <c r="E39" s="1304"/>
    </row>
    <row r="40" spans="1:48">
      <c r="A40" s="674" t="s">
        <v>618</v>
      </c>
      <c r="B40" s="674"/>
      <c r="C40" s="674"/>
      <c r="D40" s="674">
        <f>W35</f>
        <v>8</v>
      </c>
      <c r="E40" s="674"/>
    </row>
    <row r="41" spans="1:48">
      <c r="A41" s="674"/>
      <c r="B41" s="674"/>
      <c r="C41" s="674"/>
      <c r="D41" s="1304">
        <f>D39+D40</f>
        <v>262</v>
      </c>
      <c r="E41" s="1304"/>
    </row>
  </sheetData>
  <sheetProtection sheet="1" formatCells="0" formatColumns="0" formatRows="0" insertColumns="0"/>
  <mergeCells count="2">
    <mergeCell ref="D39:E39"/>
    <mergeCell ref="D41:E41"/>
  </mergeCells>
  <phoneticPr fontId="5" type="noConversion"/>
  <printOptions horizontalCentered="1" verticalCentered="1"/>
  <pageMargins left="0.19685039370078741" right="0.19685039370078741" top="0.39370078740157483" bottom="0.39370078740157483" header="0" footer="0"/>
  <pageSetup paperSize="9" scale="37" orientation="portrait"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199" id="{EAC82C95-1DEB-E64D-81BF-C87ED2E9AF0F}">
            <xm:f>OR(August!$C10="weekend")</xm:f>
            <x14:dxf>
              <font>
                <color theme="1"/>
              </font>
              <fill>
                <patternFill>
                  <bgColor theme="0" tint="-0.14996795556505021"/>
                </patternFill>
              </fill>
            </x14:dxf>
          </x14:cfRule>
          <x14:cfRule type="expression" priority="198" id="{9C74EDFC-6C3D-4748-BD87-F32A20D4629E}">
            <xm:f>OR(August!$C10="feriedag")</xm:f>
            <x14:dxf>
              <font>
                <color theme="1"/>
              </font>
              <fill>
                <patternFill>
                  <bgColor theme="6" tint="0.39994506668294322"/>
                </patternFill>
              </fill>
            </x14:dxf>
          </x14:cfRule>
          <x14:cfRule type="expression" priority="197" id="{058D7F2D-609A-1448-A8C4-F8D1C6547438}">
            <xm:f>OR(August!$C10="fagdag")</xm:f>
            <x14:dxf>
              <font>
                <color theme="1"/>
              </font>
              <fill>
                <patternFill>
                  <bgColor theme="9" tint="0.59996337778862885"/>
                </patternFill>
              </fill>
            </x14:dxf>
          </x14:cfRule>
          <x14:cfRule type="expression" priority="68" id="{D54F4020-584C-4F4A-A11D-2CCC77621B47}">
            <xm:f>OR(August!$C10="Ikke relevant")</xm:f>
            <x14:dxf>
              <font>
                <color theme="0"/>
              </font>
              <fill>
                <patternFill>
                  <bgColor theme="1"/>
                </patternFill>
              </fill>
            </x14:dxf>
          </x14:cfRule>
          <x14:cfRule type="expression" priority="56" id="{49ECD701-DA1A-4C49-9E77-F7C0B5FBFA03}">
            <xm:f>OR(August!$C10="Skema 3")</xm:f>
            <x14:dxf>
              <font>
                <color theme="0"/>
              </font>
              <fill>
                <patternFill patternType="solid">
                  <bgColor theme="4" tint="0.39994506668294322"/>
                </patternFill>
              </fill>
            </x14:dxf>
          </x14:cfRule>
          <x14:cfRule type="expression" priority="55" id="{256222D4-8801-FD4F-9264-2C914F58C83F}">
            <xm:f>OR(August!$C10="Skema 2")</xm:f>
            <x14:dxf>
              <font>
                <color theme="1"/>
              </font>
              <fill>
                <patternFill patternType="solid">
                  <bgColor theme="4" tint="0.59996337778862885"/>
                </patternFill>
              </fill>
            </x14:dxf>
          </x14:cfRule>
          <x14:cfRule type="expression" priority="54" id="{E3AA92ED-C77F-0548-A9C9-760193646B5C}">
            <xm:f>OR(August!$C10="Skema 1")</xm:f>
            <x14:dxf>
              <font>
                <color theme="1"/>
              </font>
              <fill>
                <patternFill patternType="solid">
                  <bgColor theme="4" tint="0.79998168889431442"/>
                </patternFill>
              </fill>
            </x14:dxf>
          </x14:cfRule>
          <x14:cfRule type="expression" priority="189" id="{077259EC-C35A-AF4C-81A6-6D49EBF5F89B}">
            <xm:f>OR(August!$C10="Skema 4")</xm:f>
            <x14:dxf>
              <font>
                <color theme="0"/>
              </font>
              <fill>
                <patternFill patternType="solid">
                  <bgColor theme="4" tint="-0.24994659260841701"/>
                </patternFill>
              </fill>
            </x14:dxf>
          </x14:cfRule>
          <x14:cfRule type="expression" priority="190" id="{74F1BFCC-B98D-8E4D-A11A-CDA31D415826}">
            <xm:f>OR(August!$C10="pæd.dag")</xm:f>
            <x14:dxf>
              <font>
                <color theme="1"/>
              </font>
              <fill>
                <patternFill>
                  <bgColor theme="7" tint="0.39994506668294322"/>
                </patternFill>
              </fill>
            </x14:dxf>
          </x14:cfRule>
          <x14:cfRule type="expression" priority="191" id="{3282FFA5-E7FF-C44E-BDD5-E3260CA910FA}">
            <xm:f>OR(August!$C10="SH-dag")</xm:f>
            <x14:dxf>
              <font>
                <color theme="1"/>
              </font>
              <fill>
                <patternFill>
                  <bgColor rgb="FFFF2F82"/>
                </patternFill>
              </fill>
            </x14:dxf>
          </x14:cfRule>
          <x14:cfRule type="expression" priority="193" id="{78B80DDE-7CA5-2D41-8B78-5F17E19A9795}">
            <xm:f>OR(August!$C10="Nul-dag")</xm:f>
            <x14:dxf>
              <font>
                <color theme="1"/>
              </font>
              <fill>
                <patternFill>
                  <bgColor theme="5" tint="0.79998168889431442"/>
                </patternFill>
              </fill>
            </x14:dxf>
          </x14:cfRule>
          <x14:cfRule type="expression" priority="12" id="{FAF1E807-6E02-3A42-B546-AE75E1CBB7D4}">
            <xm:f>OR(August!$C10="Orlov")</xm:f>
            <x14:dxf>
              <font>
                <color theme="0"/>
              </font>
              <fill>
                <patternFill patternType="solid">
                  <bgColor theme="6" tint="-0.24994659260841701"/>
                </patternFill>
              </fill>
            </x14:dxf>
          </x14:cfRule>
          <x14:cfRule type="expression" priority="196" id="{36471A8C-38C8-864D-80A0-417376D2D0CB}">
            <xm:f>OR(August!$C10="emnedag")</xm:f>
            <x14:dxf>
              <font>
                <color theme="1"/>
              </font>
              <fill>
                <patternFill>
                  <bgColor theme="5" tint="0.59996337778862885"/>
                </patternFill>
              </fill>
            </x14:dxf>
          </x14:cfRule>
          <x14:cfRule type="expression" priority="195" id="{FED3E8BE-7925-F74E-9860-2990D79E0BAC}">
            <xm:f>OR(August!$C10="lejrskole")</xm:f>
            <x14:dxf>
              <font>
                <color theme="1"/>
              </font>
              <fill>
                <patternFill>
                  <bgColor theme="8" tint="0.59996337778862885"/>
                </patternFill>
              </fill>
            </x14:dxf>
          </x14:cfRule>
          <x14:cfRule type="expression" priority="194" id="{F64A6795-1CA1-934D-9945-114DD9BD0BC6}">
            <xm:f>OR(August!$C10="ekskursion")</xm:f>
            <x14:dxf>
              <font>
                <color theme="1"/>
              </font>
              <fill>
                <patternFill>
                  <bgColor rgb="FFFFFF00"/>
                </patternFill>
              </fill>
            </x14:dxf>
          </x14:cfRule>
          <xm:sqref>A3:D33</xm:sqref>
        </x14:conditionalFormatting>
        <x14:conditionalFormatting xmlns:xm="http://schemas.microsoft.com/office/excel/2006/main">
          <x14:cfRule type="expression" priority="11" id="{E4693018-96F2-4C46-B8FC-A2AD88F527C8}">
            <xm:f>OR(September!$C9="Orlov")</xm:f>
            <x14:dxf>
              <font>
                <color theme="0"/>
              </font>
              <fill>
                <patternFill patternType="solid">
                  <bgColor theme="6" tint="-0.24994659260841701"/>
                </patternFill>
              </fill>
            </x14:dxf>
          </x14:cfRule>
          <x14:cfRule type="expression" priority="179" id="{B8F3C9F7-998F-C244-87C3-199A0A4DEFE9}">
            <xm:f>OR(September!$C9="Skema 4")</xm:f>
            <x14:dxf>
              <font>
                <color theme="0"/>
              </font>
              <fill>
                <patternFill patternType="solid">
                  <bgColor theme="4" tint="-0.24994659260841701"/>
                </patternFill>
              </fill>
            </x14:dxf>
          </x14:cfRule>
          <x14:cfRule type="expression" priority="180" id="{BBD9580A-7195-8C45-B858-F7A42EA40CFE}">
            <xm:f>OR(September!$C9="pæd.dag")</xm:f>
            <x14:dxf>
              <font>
                <color theme="1"/>
              </font>
              <fill>
                <patternFill>
                  <bgColor theme="7" tint="0.39994506668294322"/>
                </patternFill>
              </fill>
            </x14:dxf>
          </x14:cfRule>
          <x14:cfRule type="expression" priority="181" id="{A4380F4B-771A-9E49-A634-4BF3943CC0CA}">
            <xm:f>OR(September!$C9="SH-dag")</xm:f>
            <x14:dxf>
              <font>
                <color theme="1"/>
              </font>
              <fill>
                <patternFill>
                  <bgColor rgb="FFFF2F82"/>
                </patternFill>
              </fill>
            </x14:dxf>
          </x14:cfRule>
          <x14:cfRule type="expression" priority="188" id="{29E09A26-FB0F-0443-B551-BDA241490133}">
            <xm:f>OR(September!$C9="weekend")</xm:f>
            <x14:dxf>
              <font>
                <color theme="1"/>
              </font>
              <fill>
                <patternFill>
                  <bgColor theme="0" tint="-0.14996795556505021"/>
                </patternFill>
              </fill>
            </x14:dxf>
          </x14:cfRule>
          <x14:cfRule type="expression" priority="187" id="{D2256339-C701-0B40-90E8-09A22AB6A246}">
            <xm:f>OR(September!$C9="feriedag")</xm:f>
            <x14:dxf>
              <font>
                <color theme="1"/>
              </font>
              <fill>
                <patternFill>
                  <bgColor theme="6" tint="0.39994506668294322"/>
                </patternFill>
              </fill>
            </x14:dxf>
          </x14:cfRule>
          <x14:cfRule type="expression" priority="182" id="{563E3FF7-B330-AD43-8453-9C8FC24D5AC4}">
            <xm:f>OR(September!$C9="Nul-dag")</xm:f>
            <x14:dxf>
              <font>
                <color theme="1"/>
              </font>
              <fill>
                <patternFill>
                  <bgColor theme="5" tint="0.79998168889431442"/>
                </patternFill>
              </fill>
            </x14:dxf>
          </x14:cfRule>
          <x14:cfRule type="expression" priority="183" id="{DD5D9FAF-05DD-FF44-B52D-E2C9122587FB}">
            <xm:f>OR(September!$C9="ekskursion")</xm:f>
            <x14:dxf>
              <font>
                <color theme="1"/>
              </font>
              <fill>
                <patternFill>
                  <bgColor rgb="FFFFFF00"/>
                </patternFill>
              </fill>
            </x14:dxf>
          </x14:cfRule>
          <x14:cfRule type="expression" priority="67" id="{89D9A635-C435-6143-81F0-E9D9F1C60EE9}">
            <xm:f>OR(September!$C9="Ikke relevant")</xm:f>
            <x14:dxf>
              <font>
                <color theme="0"/>
              </font>
              <fill>
                <patternFill>
                  <bgColor theme="1"/>
                </patternFill>
              </fill>
            </x14:dxf>
          </x14:cfRule>
          <x14:cfRule type="expression" priority="184" id="{DD375EBA-8778-7248-B014-1EA8A978E0DD}">
            <xm:f>OR(September!$C9="lejrskole")</xm:f>
            <x14:dxf>
              <font>
                <color theme="1"/>
              </font>
              <fill>
                <patternFill>
                  <bgColor theme="8" tint="0.59996337778862885"/>
                </patternFill>
              </fill>
            </x14:dxf>
          </x14:cfRule>
          <x14:cfRule type="expression" priority="185" id="{A8DC2A39-5DF7-7547-A7CC-5A375AF908F2}">
            <xm:f>OR(September!$C9="emnedag")</xm:f>
            <x14:dxf>
              <font>
                <color theme="1"/>
              </font>
              <fill>
                <patternFill>
                  <bgColor theme="5" tint="0.59996337778862885"/>
                </patternFill>
              </fill>
            </x14:dxf>
          </x14:cfRule>
          <x14:cfRule type="expression" priority="186" id="{F1756DC2-4A57-AE42-BFC0-7ADBC9D513D4}">
            <xm:f>OR(September!$C9="fagdag")</xm:f>
            <x14:dxf>
              <font>
                <color theme="1"/>
              </font>
              <fill>
                <patternFill>
                  <bgColor theme="9" tint="0.59996337778862885"/>
                </patternFill>
              </fill>
            </x14:dxf>
          </x14:cfRule>
          <x14:cfRule type="expression" priority="53" id="{A528E4CF-9264-0E4B-A2B5-A6E03B676F82}">
            <xm:f>OR(September!$C9="Skema 3")</xm:f>
            <x14:dxf>
              <font>
                <color theme="0"/>
              </font>
              <fill>
                <patternFill patternType="solid">
                  <bgColor theme="4" tint="0.39994506668294322"/>
                </patternFill>
              </fill>
            </x14:dxf>
          </x14:cfRule>
          <x14:cfRule type="expression" priority="52" id="{744F3D3C-A775-B24C-A213-F5C589D0C7F7}">
            <xm:f>OR(September!$C9="Skema 2")</xm:f>
            <x14:dxf>
              <font>
                <color theme="1"/>
              </font>
              <fill>
                <patternFill patternType="solid">
                  <bgColor theme="4" tint="0.59996337778862885"/>
                </patternFill>
              </fill>
            </x14:dxf>
          </x14:cfRule>
          <x14:cfRule type="expression" priority="51" id="{51825B60-F422-324F-98D2-3163CF25179E}">
            <xm:f>OR(September!$C9="Skema 1")</xm:f>
            <x14:dxf>
              <font>
                <color theme="1"/>
              </font>
              <fill>
                <patternFill patternType="solid">
                  <bgColor theme="4" tint="0.79998168889431442"/>
                </patternFill>
              </fill>
            </x14:dxf>
          </x14:cfRule>
          <xm:sqref>E3:H32</xm:sqref>
        </x14:conditionalFormatting>
        <x14:conditionalFormatting xmlns:xm="http://schemas.microsoft.com/office/excel/2006/main">
          <x14:cfRule type="expression" priority="171" id="{2C69A2BB-2C8D-524C-B256-3938A3C928BA}">
            <xm:f>OR(Oktober!$C9="SH-dag")</xm:f>
            <x14:dxf>
              <font>
                <color theme="1"/>
              </font>
              <fill>
                <patternFill>
                  <bgColor rgb="FFFF2F82"/>
                </patternFill>
              </fill>
            </x14:dxf>
          </x14:cfRule>
          <x14:cfRule type="expression" priority="66" id="{EC7C1A1C-3AF3-F544-8D07-6D717F350043}">
            <xm:f>OR(Oktober!$C9="Ikke relevant")</xm:f>
            <x14:dxf>
              <font>
                <color theme="0"/>
              </font>
              <fill>
                <patternFill>
                  <bgColor theme="1"/>
                </patternFill>
              </fill>
            </x14:dxf>
          </x14:cfRule>
          <x14:cfRule type="expression" priority="10" id="{0CD9A79C-09EE-5B4E-A334-21B06E5D99B0}">
            <xm:f>OR(Oktober!$C9="Orlov")</xm:f>
            <x14:dxf>
              <font>
                <color theme="0"/>
              </font>
              <fill>
                <patternFill patternType="solid">
                  <bgColor theme="6" tint="-0.24994659260841701"/>
                </patternFill>
              </fill>
            </x14:dxf>
          </x14:cfRule>
          <x14:cfRule type="expression" priority="178" id="{E1639A83-F4B8-2845-907E-32FCD6B3CF80}">
            <xm:f>OR(Oktober!$C9="weekend")</xm:f>
            <x14:dxf>
              <font>
                <color theme="1"/>
              </font>
              <fill>
                <patternFill>
                  <bgColor theme="0" tint="-0.14996795556505021"/>
                </patternFill>
              </fill>
            </x14:dxf>
          </x14:cfRule>
          <x14:cfRule type="expression" priority="177" id="{FF01C623-7FCE-2348-A4D0-6FF5D07B990D}">
            <xm:f>OR(Oktober!$C9="feriedag")</xm:f>
            <x14:dxf>
              <font>
                <color theme="1"/>
              </font>
              <fill>
                <patternFill>
                  <bgColor theme="6" tint="0.39994506668294322"/>
                </patternFill>
              </fill>
            </x14:dxf>
          </x14:cfRule>
          <x14:cfRule type="expression" priority="176" id="{CFD95E66-C484-BA40-AF6D-6B5CEF57C21D}">
            <xm:f>OR(Oktober!$C9="fagdag")</xm:f>
            <x14:dxf>
              <font>
                <color theme="1"/>
              </font>
              <fill>
                <patternFill>
                  <bgColor theme="9" tint="0.59996337778862885"/>
                </patternFill>
              </fill>
            </x14:dxf>
          </x14:cfRule>
          <x14:cfRule type="expression" priority="175" id="{FF4978AD-B290-5741-A70F-B60A05D2EB27}">
            <xm:f>OR(Oktober!$C9="emnedag")</xm:f>
            <x14:dxf>
              <font>
                <color theme="1"/>
              </font>
              <fill>
                <patternFill>
                  <bgColor theme="5" tint="0.59996337778862885"/>
                </patternFill>
              </fill>
            </x14:dxf>
          </x14:cfRule>
          <x14:cfRule type="expression" priority="174" id="{1678772D-04D0-6F4C-BE47-2D5AB0C3D32A}">
            <xm:f>OR(Oktober!$C9="lejrskole")</xm:f>
            <x14:dxf>
              <font>
                <color theme="1"/>
              </font>
              <fill>
                <patternFill>
                  <bgColor theme="8" tint="0.59996337778862885"/>
                </patternFill>
              </fill>
            </x14:dxf>
          </x14:cfRule>
          <x14:cfRule type="expression" priority="173" id="{5A67423B-824F-0046-99A1-26018D7A77A6}">
            <xm:f>OR(Oktober!$C9="ekskursion")</xm:f>
            <x14:dxf>
              <font>
                <color theme="1"/>
              </font>
              <fill>
                <patternFill>
                  <bgColor rgb="FFFFFF00"/>
                </patternFill>
              </fill>
            </x14:dxf>
          </x14:cfRule>
          <x14:cfRule type="expression" priority="172" id="{B4EA3747-3D02-DF40-A295-EC50D6ECE531}">
            <xm:f>OR(Oktober!$C9="Nul-dag")</xm:f>
            <x14:dxf>
              <font>
                <color theme="1"/>
              </font>
              <fill>
                <patternFill>
                  <bgColor theme="5" tint="0.79998168889431442"/>
                </patternFill>
              </fill>
            </x14:dxf>
          </x14:cfRule>
          <x14:cfRule type="expression" priority="50" id="{0C773F27-FDD4-2641-93EC-3A19DD10841E}">
            <xm:f>OR(Oktober!$C9="Skema 3")</xm:f>
            <x14:dxf>
              <font>
                <color theme="0"/>
              </font>
              <fill>
                <patternFill patternType="solid">
                  <bgColor theme="4" tint="0.39994506668294322"/>
                </patternFill>
              </fill>
            </x14:dxf>
          </x14:cfRule>
          <x14:cfRule type="expression" priority="169" id="{24DFAF16-6739-2442-B2BD-4787F2A1A0BB}">
            <xm:f>OR(Oktober!$C9="Skema 4")</xm:f>
            <x14:dxf>
              <font>
                <color theme="0"/>
              </font>
              <fill>
                <patternFill patternType="solid">
                  <bgColor theme="4" tint="-0.24994659260841701"/>
                </patternFill>
              </fill>
            </x14:dxf>
          </x14:cfRule>
          <x14:cfRule type="expression" priority="170" id="{416C88E3-7C07-1C40-8A6E-EB05DEB1D5C0}">
            <xm:f>OR(Oktober!$C9="pæd.dag")</xm:f>
            <x14:dxf>
              <font>
                <color theme="1"/>
              </font>
              <fill>
                <patternFill>
                  <bgColor theme="7" tint="0.39994506668294322"/>
                </patternFill>
              </fill>
            </x14:dxf>
          </x14:cfRule>
          <x14:cfRule type="expression" priority="49" id="{1235332C-1AE2-FF45-BC0E-2A6FBF9B1F96}">
            <xm:f>OR(Oktober!$C9="Skema 2")</xm:f>
            <x14:dxf>
              <font>
                <color theme="1"/>
              </font>
              <fill>
                <patternFill patternType="solid">
                  <bgColor theme="4" tint="0.59996337778862885"/>
                </patternFill>
              </fill>
            </x14:dxf>
          </x14:cfRule>
          <x14:cfRule type="expression" priority="48" id="{D2A82101-0282-1440-84BB-37288BCC512B}">
            <xm:f>OR(Oktober!$C9="Skema 1")</xm:f>
            <x14:dxf>
              <font>
                <color theme="1"/>
              </font>
              <fill>
                <patternFill patternType="solid">
                  <bgColor theme="4" tint="0.79998168889431442"/>
                </patternFill>
              </fill>
            </x14:dxf>
          </x14:cfRule>
          <xm:sqref>I3:L33</xm:sqref>
        </x14:conditionalFormatting>
        <x14:conditionalFormatting xmlns:xm="http://schemas.microsoft.com/office/excel/2006/main">
          <x14:cfRule type="expression" priority="47" id="{0BDEE963-9A0D-5E41-8970-E31D34A4B4EB}">
            <xm:f>OR(November!$C9="Skema 3")</xm:f>
            <x14:dxf>
              <font>
                <color theme="0"/>
              </font>
              <fill>
                <patternFill patternType="solid">
                  <bgColor theme="4" tint="0.39994506668294322"/>
                </patternFill>
              </fill>
            </x14:dxf>
          </x14:cfRule>
          <x14:cfRule type="expression" priority="46" id="{1FECD2AA-A96F-1B4B-A660-F4943991F40A}">
            <xm:f>OR(November!$C9="Skema 2")</xm:f>
            <x14:dxf>
              <font>
                <color theme="1"/>
              </font>
              <fill>
                <patternFill patternType="solid">
                  <bgColor theme="4" tint="0.59996337778862885"/>
                </patternFill>
              </fill>
            </x14:dxf>
          </x14:cfRule>
          <x14:cfRule type="expression" priority="45" id="{00CC614A-1AC8-FC4B-9ECE-039172922841}">
            <xm:f>OR(November!$C9="Skema 1")</xm:f>
            <x14:dxf>
              <font>
                <color theme="1"/>
              </font>
              <fill>
                <patternFill patternType="solid">
                  <bgColor theme="4" tint="0.79998168889431442"/>
                </patternFill>
              </fill>
            </x14:dxf>
          </x14:cfRule>
          <x14:cfRule type="expression" priority="168" id="{1733BEBF-2A6A-1240-B283-14C17CBC157E}">
            <xm:f>OR(November!$C9="weekend")</xm:f>
            <x14:dxf>
              <font>
                <color theme="1"/>
              </font>
              <fill>
                <patternFill>
                  <bgColor theme="0" tint="-0.14996795556505021"/>
                </patternFill>
              </fill>
            </x14:dxf>
          </x14:cfRule>
          <x14:cfRule type="expression" priority="167" id="{507C5FA8-DA44-A544-9D6D-AB1443CFFB8B}">
            <xm:f>OR(November!$C9="feriedag")</xm:f>
            <x14:dxf>
              <font>
                <color theme="1"/>
              </font>
              <fill>
                <patternFill>
                  <bgColor theme="6" tint="0.39994506668294322"/>
                </patternFill>
              </fill>
            </x14:dxf>
          </x14:cfRule>
          <x14:cfRule type="expression" priority="166" id="{F6B49FAC-4F3E-C642-803B-241976846A77}">
            <xm:f>OR(November!$C9="fagdag")</xm:f>
            <x14:dxf>
              <font>
                <color theme="1"/>
              </font>
              <fill>
                <patternFill>
                  <bgColor theme="9" tint="0.59996337778862885"/>
                </patternFill>
              </fill>
            </x14:dxf>
          </x14:cfRule>
          <x14:cfRule type="expression" priority="165" id="{6715507C-9DD3-2E46-BB7A-3B99CCDBD5A3}">
            <xm:f>OR(November!$C9="emnedag")</xm:f>
            <x14:dxf>
              <font>
                <color theme="1"/>
              </font>
              <fill>
                <patternFill>
                  <bgColor theme="5" tint="0.59996337778862885"/>
                </patternFill>
              </fill>
            </x14:dxf>
          </x14:cfRule>
          <x14:cfRule type="expression" priority="163" id="{2B2CBB1B-5899-C743-B81E-1B77E4EC89F0}">
            <xm:f>OR(November!$C9="ekskursion")</xm:f>
            <x14:dxf>
              <font>
                <color theme="1"/>
              </font>
              <fill>
                <patternFill>
                  <bgColor rgb="FFFFFF00"/>
                </patternFill>
              </fill>
            </x14:dxf>
          </x14:cfRule>
          <x14:cfRule type="expression" priority="162" id="{ADB29B3B-7DFC-954A-952B-16B2EBBF50F3}">
            <xm:f>OR(November!$C9="Nul-dag")</xm:f>
            <x14:dxf>
              <font>
                <color theme="1"/>
              </font>
              <fill>
                <patternFill>
                  <bgColor theme="5" tint="0.79998168889431442"/>
                </patternFill>
              </fill>
            </x14:dxf>
          </x14:cfRule>
          <x14:cfRule type="expression" priority="161" id="{8D40A667-829F-1048-97C9-0994C9651BB7}">
            <xm:f>OR(November!$C9="SH-dag")</xm:f>
            <x14:dxf>
              <font>
                <color theme="1"/>
              </font>
              <fill>
                <patternFill>
                  <bgColor rgb="FFFF2F82"/>
                </patternFill>
              </fill>
            </x14:dxf>
          </x14:cfRule>
          <x14:cfRule type="expression" priority="160" id="{735BD466-F98F-564F-A01F-8F488CFA3B6A}">
            <xm:f>OR(November!$C9="pæd.dag")</xm:f>
            <x14:dxf>
              <font>
                <color theme="1"/>
              </font>
              <fill>
                <patternFill>
                  <bgColor theme="7" tint="0.39994506668294322"/>
                </patternFill>
              </fill>
            </x14:dxf>
          </x14:cfRule>
          <x14:cfRule type="expression" priority="159" id="{34B9EFE6-DFDC-D848-A900-090A6E16B7BD}">
            <xm:f>OR(November!$C9="Skema 4")</xm:f>
            <x14:dxf>
              <font>
                <color theme="0"/>
              </font>
              <fill>
                <patternFill patternType="solid">
                  <bgColor theme="4" tint="-0.24994659260841701"/>
                </patternFill>
              </fill>
            </x14:dxf>
          </x14:cfRule>
          <x14:cfRule type="expression" priority="9" id="{920751DC-B5ED-8E42-85C0-1EBF9D44AE06}">
            <xm:f>OR(November!$C9="Orlov")</xm:f>
            <x14:dxf>
              <font>
                <color theme="0"/>
              </font>
              <fill>
                <patternFill patternType="solid">
                  <bgColor theme="6" tint="-0.24994659260841701"/>
                </patternFill>
              </fill>
            </x14:dxf>
          </x14:cfRule>
          <x14:cfRule type="expression" priority="164" id="{EB00411D-3D3E-B14E-9FB0-028C04B8E895}">
            <xm:f>OR(November!$C9="lejrskole")</xm:f>
            <x14:dxf>
              <font>
                <color theme="1"/>
              </font>
              <fill>
                <patternFill>
                  <bgColor theme="8" tint="0.59996337778862885"/>
                </patternFill>
              </fill>
            </x14:dxf>
          </x14:cfRule>
          <x14:cfRule type="expression" priority="65" id="{3C3A3E5B-F2DB-794B-8096-B2E084FDD694}">
            <xm:f>OR(November!$C9="Ikke relevant")</xm:f>
            <x14:dxf>
              <font>
                <color theme="0"/>
              </font>
              <fill>
                <patternFill>
                  <bgColor theme="1"/>
                </patternFill>
              </fill>
            </x14:dxf>
          </x14:cfRule>
          <xm:sqref>M3:P32</xm:sqref>
        </x14:conditionalFormatting>
        <x14:conditionalFormatting xmlns:xm="http://schemas.microsoft.com/office/excel/2006/main">
          <x14:cfRule type="expression" priority="153" id="{D8447A37-3A50-0642-9B5F-43C01AFAA06C}">
            <xm:f>OR(December!$C9="ekskursion")</xm:f>
            <x14:dxf>
              <font>
                <color theme="1"/>
              </font>
              <fill>
                <patternFill>
                  <bgColor rgb="FFFFFF00"/>
                </patternFill>
              </fill>
            </x14:dxf>
          </x14:cfRule>
          <x14:cfRule type="expression" priority="150" id="{5606980E-44C4-6B43-8A7B-9A72C844ACB8}">
            <xm:f>OR(December!$C9="pæd.dag")</xm:f>
            <x14:dxf>
              <font>
                <color theme="1"/>
              </font>
              <fill>
                <patternFill>
                  <bgColor theme="7" tint="0.39994506668294322"/>
                </patternFill>
              </fill>
            </x14:dxf>
          </x14:cfRule>
          <x14:cfRule type="expression" priority="64" id="{405E5FE5-D39A-3344-9D26-9E2F9DB15E52}">
            <xm:f>OR(December!$C9="Ikke relevant")</xm:f>
            <x14:dxf>
              <font>
                <color theme="0"/>
              </font>
              <fill>
                <patternFill>
                  <bgColor theme="1"/>
                </patternFill>
              </fill>
            </x14:dxf>
          </x14:cfRule>
          <x14:cfRule type="expression" priority="154" id="{B1921E4A-CF0B-4D4D-8487-6E07254F5244}">
            <xm:f>OR(December!$C9="lejrskole")</xm:f>
            <x14:dxf>
              <font>
                <color theme="1"/>
              </font>
              <fill>
                <patternFill>
                  <bgColor theme="8" tint="0.59996337778862885"/>
                </patternFill>
              </fill>
            </x14:dxf>
          </x14:cfRule>
          <x14:cfRule type="expression" priority="152" id="{F9882835-81C8-A249-A3AA-3D9BBE413360}">
            <xm:f>OR(December!$C9="Nul-dag")</xm:f>
            <x14:dxf>
              <font>
                <color theme="1"/>
              </font>
              <fill>
                <patternFill>
                  <bgColor theme="5" tint="0.79998168889431442"/>
                </patternFill>
              </fill>
            </x14:dxf>
          </x14:cfRule>
          <x14:cfRule type="expression" priority="155" id="{5953742D-E53E-4A4D-B732-C7668FE8C524}">
            <xm:f>OR(December!$C9="emnedag")</xm:f>
            <x14:dxf>
              <font>
                <color theme="1"/>
              </font>
              <fill>
                <patternFill>
                  <bgColor theme="5" tint="0.59996337778862885"/>
                </patternFill>
              </fill>
            </x14:dxf>
          </x14:cfRule>
          <x14:cfRule type="expression" priority="151" id="{01D47AC0-1680-A64A-BBAC-511097CCF740}">
            <xm:f>OR(December!$C9="SH-dag")</xm:f>
            <x14:dxf>
              <font>
                <color theme="1"/>
              </font>
              <fill>
                <patternFill>
                  <bgColor rgb="FFFF2F82"/>
                </patternFill>
              </fill>
            </x14:dxf>
          </x14:cfRule>
          <x14:cfRule type="expression" priority="156" id="{BABE8628-6A33-0549-9598-A54691F4778E}">
            <xm:f>OR(December!$C9="fagdag")</xm:f>
            <x14:dxf>
              <font>
                <color theme="1"/>
              </font>
              <fill>
                <patternFill>
                  <bgColor theme="9" tint="0.59996337778862885"/>
                </patternFill>
              </fill>
            </x14:dxf>
          </x14:cfRule>
          <x14:cfRule type="expression" priority="157" id="{CAC250A0-A36F-E146-86F8-81B47A7641A1}">
            <xm:f>OR(December!$C9="feriedag")</xm:f>
            <x14:dxf>
              <font>
                <color theme="1"/>
              </font>
              <fill>
                <patternFill>
                  <bgColor theme="6" tint="0.39994506668294322"/>
                </patternFill>
              </fill>
            </x14:dxf>
          </x14:cfRule>
          <x14:cfRule type="expression" priority="8" id="{B793D4F9-B298-E949-8F2C-9EDE46443D32}">
            <xm:f>OR(December!$C9="Orlov")</xm:f>
            <x14:dxf>
              <font>
                <color theme="0"/>
              </font>
              <fill>
                <patternFill patternType="solid">
                  <bgColor theme="6" tint="-0.24994659260841701"/>
                </patternFill>
              </fill>
            </x14:dxf>
          </x14:cfRule>
          <x14:cfRule type="expression" priority="158" id="{F7514658-5343-0949-8ABE-37D3ED0E34E0}">
            <xm:f>OR(December!$C9="weekend")</xm:f>
            <x14:dxf>
              <font>
                <color theme="1"/>
              </font>
              <fill>
                <patternFill>
                  <bgColor theme="0" tint="-0.14996795556505021"/>
                </patternFill>
              </fill>
            </x14:dxf>
          </x14:cfRule>
          <x14:cfRule type="expression" priority="149" id="{D7EB46A5-562B-9640-9009-6529BCEB5A50}">
            <xm:f>OR(December!$C9="Skema 4")</xm:f>
            <x14:dxf>
              <font>
                <color theme="0"/>
              </font>
              <fill>
                <patternFill patternType="solid">
                  <bgColor theme="4" tint="-0.24994659260841701"/>
                </patternFill>
              </fill>
            </x14:dxf>
          </x14:cfRule>
          <x14:cfRule type="expression" priority="42" id="{CA1E3680-A794-244F-BD54-24854DE53367}">
            <xm:f>OR(December!$C9="Skema 1")</xm:f>
            <x14:dxf>
              <font>
                <color theme="1"/>
              </font>
              <fill>
                <patternFill patternType="solid">
                  <bgColor theme="4" tint="0.79998168889431442"/>
                </patternFill>
              </fill>
            </x14:dxf>
          </x14:cfRule>
          <x14:cfRule type="expression" priority="43" id="{0CD3A68E-01AC-E848-B623-231F6FD6DA34}">
            <xm:f>OR(December!$C9="Skema 2")</xm:f>
            <x14:dxf>
              <font>
                <color theme="1"/>
              </font>
              <fill>
                <patternFill patternType="solid">
                  <bgColor theme="4" tint="0.59996337778862885"/>
                </patternFill>
              </fill>
            </x14:dxf>
          </x14:cfRule>
          <x14:cfRule type="expression" priority="44" id="{E17B22A4-F3B5-C64F-B55C-4CCC7A36B3E6}">
            <xm:f>OR(December!$C9="Skema 3")</xm:f>
            <x14:dxf>
              <font>
                <color theme="0"/>
              </font>
              <fill>
                <patternFill patternType="solid">
                  <bgColor theme="4" tint="0.39994506668294322"/>
                </patternFill>
              </fill>
            </x14:dxf>
          </x14:cfRule>
          <xm:sqref>Q3:T33</xm:sqref>
        </x14:conditionalFormatting>
        <x14:conditionalFormatting xmlns:xm="http://schemas.microsoft.com/office/excel/2006/main">
          <x14:cfRule type="expression" priority="7" id="{8F246EAB-3BB5-2844-B9E7-961ADD71B281}">
            <xm:f>OR(Januar!$C9="Orlov")</xm:f>
            <x14:dxf>
              <font>
                <color theme="0"/>
              </font>
              <fill>
                <patternFill patternType="solid">
                  <fgColor indexed="64"/>
                  <bgColor theme="6" tint="-0.24994659260841701"/>
                </patternFill>
              </fill>
            </x14:dxf>
          </x14:cfRule>
          <x14:cfRule type="expression" priority="147" id="{8EF1BF28-7BBA-5344-9A85-C351C2F12A46}">
            <xm:f>OR(Januar!$C9="feriedag")</xm:f>
            <x14:dxf>
              <font>
                <color theme="1"/>
              </font>
              <fill>
                <patternFill>
                  <bgColor theme="6" tint="0.39994506668294322"/>
                </patternFill>
              </fill>
            </x14:dxf>
          </x14:cfRule>
          <x14:cfRule type="expression" priority="139" id="{33FCD2AE-0D8F-4847-87C3-61996CB9E16E}">
            <xm:f>OR(Januar!$C9="Skema 4")</xm:f>
            <x14:dxf>
              <font>
                <color theme="0"/>
              </font>
              <fill>
                <patternFill patternType="solid">
                  <bgColor theme="4" tint="-0.24994659260841701"/>
                </patternFill>
              </fill>
            </x14:dxf>
          </x14:cfRule>
          <x14:cfRule type="expression" priority="140" id="{4C151E35-BA43-F647-A194-07EFBAAAC1F7}">
            <xm:f>OR(Januar!$C9="pæd.dag")</xm:f>
            <x14:dxf>
              <font>
                <color theme="1"/>
              </font>
              <fill>
                <patternFill>
                  <bgColor theme="7" tint="0.39994506668294322"/>
                </patternFill>
              </fill>
            </x14:dxf>
          </x14:cfRule>
          <x14:cfRule type="expression" priority="141" id="{0825D3C6-C540-CA44-B1BB-4198B534F6AD}">
            <xm:f>OR(Januar!$C9="SH-dag")</xm:f>
            <x14:dxf>
              <font>
                <color theme="1"/>
              </font>
              <fill>
                <patternFill>
                  <bgColor rgb="FFFF2F82"/>
                </patternFill>
              </fill>
            </x14:dxf>
          </x14:cfRule>
          <x14:cfRule type="expression" priority="142" id="{3870C082-40B1-B043-BC4C-8FE477158424}">
            <xm:f>OR(Januar!$C9="Nul-dag")</xm:f>
            <x14:dxf>
              <font>
                <color theme="1"/>
              </font>
              <fill>
                <patternFill>
                  <bgColor theme="5" tint="0.79998168889431442"/>
                </patternFill>
              </fill>
            </x14:dxf>
          </x14:cfRule>
          <x14:cfRule type="expression" priority="143" id="{6CA16A9C-7F36-5340-BBFD-692044D28D46}">
            <xm:f>OR(Januar!$C9="ekskursion")</xm:f>
            <x14:dxf>
              <font>
                <color theme="1"/>
              </font>
              <fill>
                <patternFill>
                  <bgColor rgb="FFFFFF00"/>
                </patternFill>
              </fill>
            </x14:dxf>
          </x14:cfRule>
          <x14:cfRule type="expression" priority="144" id="{3A498EF8-73A9-E345-A69B-D9C2C4E052DD}">
            <xm:f>OR(Januar!$C9="lejrskole")</xm:f>
            <x14:dxf>
              <font>
                <color theme="1"/>
              </font>
              <fill>
                <patternFill>
                  <bgColor theme="8" tint="0.59996337778862885"/>
                </patternFill>
              </fill>
            </x14:dxf>
          </x14:cfRule>
          <x14:cfRule type="expression" priority="41" id="{C86F9E67-B61E-1F47-86DE-9DA9BE389F08}">
            <xm:f>OR(Januar!$C9="Skema 3")</xm:f>
            <x14:dxf>
              <font>
                <color theme="0"/>
              </font>
              <fill>
                <patternFill patternType="solid">
                  <bgColor theme="4" tint="0.39994506668294322"/>
                </patternFill>
              </fill>
            </x14:dxf>
          </x14:cfRule>
          <x14:cfRule type="expression" priority="40" id="{AEB011DE-B4CE-0842-A13F-809AAFABAE03}">
            <xm:f>OR(Januar!$C9="Skema 2")</xm:f>
            <x14:dxf>
              <font>
                <color theme="1"/>
              </font>
              <fill>
                <patternFill patternType="solid">
                  <bgColor theme="4" tint="0.59996337778862885"/>
                </patternFill>
              </fill>
            </x14:dxf>
          </x14:cfRule>
          <x14:cfRule type="expression" priority="39" id="{685F8206-CBC4-1A4C-9A77-6DA480239126}">
            <xm:f>OR(Januar!$C9="Skema 1")</xm:f>
            <x14:dxf>
              <font>
                <color theme="1"/>
              </font>
              <fill>
                <patternFill patternType="solid">
                  <fgColor indexed="64"/>
                  <bgColor theme="4" tint="0.79998168889431442"/>
                </patternFill>
              </fill>
            </x14:dxf>
          </x14:cfRule>
          <x14:cfRule type="expression" priority="145" id="{3A7325B9-8392-9847-BD92-5909CF10E04D}">
            <xm:f>OR(Januar!$C9="emnedag")</xm:f>
            <x14:dxf>
              <font>
                <color theme="1"/>
              </font>
              <fill>
                <patternFill>
                  <bgColor theme="5" tint="0.59996337778862885"/>
                </patternFill>
              </fill>
            </x14:dxf>
          </x14:cfRule>
          <x14:cfRule type="expression" priority="146" id="{D6E1BBEC-187A-244C-BBB5-EA65E4343198}">
            <xm:f>OR(Januar!$C9="fagdag")</xm:f>
            <x14:dxf>
              <font>
                <color theme="1"/>
              </font>
              <fill>
                <patternFill>
                  <bgColor theme="9" tint="0.59996337778862885"/>
                </patternFill>
              </fill>
            </x14:dxf>
          </x14:cfRule>
          <x14:cfRule type="expression" priority="148" id="{F767FC14-4689-1142-A161-0B4FBDE15605}">
            <xm:f>OR(Januar!$C9="weekend")</xm:f>
            <x14:dxf>
              <font>
                <color theme="1"/>
              </font>
              <fill>
                <patternFill>
                  <bgColor theme="0" tint="-0.14996795556505021"/>
                </patternFill>
              </fill>
            </x14:dxf>
          </x14:cfRule>
          <x14:cfRule type="expression" priority="63" id="{79BD02DB-3F90-9142-941C-51992FDF22FD}">
            <xm:f>OR(Januar!$C9="Ikke relevant")</xm:f>
            <x14:dxf>
              <font>
                <color theme="0"/>
              </font>
              <fill>
                <patternFill>
                  <bgColor theme="1"/>
                </patternFill>
              </fill>
            </x14:dxf>
          </x14:cfRule>
          <xm:sqref>U3:X33</xm:sqref>
        </x14:conditionalFormatting>
        <x14:conditionalFormatting xmlns:xm="http://schemas.microsoft.com/office/excel/2006/main">
          <x14:cfRule type="expression" priority="36" id="{FA0DD1F1-A575-F54C-B9B8-1A59F46E3693}">
            <xm:f>OR(Februar!$C9="Skema 1")</xm:f>
            <x14:dxf>
              <font>
                <color theme="1"/>
              </font>
              <fill>
                <patternFill patternType="solid">
                  <bgColor theme="4" tint="0.79998168889431442"/>
                </patternFill>
              </fill>
            </x14:dxf>
          </x14:cfRule>
          <x14:cfRule type="expression" priority="130" id="{D49DC9CD-3CF9-AA43-B3FA-9A4F4515BF0D}">
            <xm:f>OR(Februar!$C9="pæd.dag")</xm:f>
            <x14:dxf>
              <font>
                <color theme="1"/>
              </font>
              <fill>
                <patternFill>
                  <bgColor theme="7" tint="0.39994506668294322"/>
                </patternFill>
              </fill>
            </x14:dxf>
          </x14:cfRule>
          <x14:cfRule type="expression" priority="129" id="{5905EE0B-1AD8-2447-91F1-31FDDC4F15AB}">
            <xm:f>OR(Februar!$C9="Skema 4")</xm:f>
            <x14:dxf>
              <font>
                <color theme="0"/>
              </font>
              <fill>
                <patternFill patternType="solid">
                  <bgColor theme="4" tint="-0.24994659260841701"/>
                </patternFill>
              </fill>
            </x14:dxf>
          </x14:cfRule>
          <x14:cfRule type="expression" priority="132" id="{691C06F0-DFD2-9946-B801-C89C03ED1F5E}">
            <xm:f>OR(Februar!$C9="Nul-dag")</xm:f>
            <x14:dxf>
              <font>
                <color theme="1"/>
              </font>
              <fill>
                <patternFill>
                  <bgColor theme="5" tint="0.79998168889431442"/>
                </patternFill>
              </fill>
            </x14:dxf>
          </x14:cfRule>
          <x14:cfRule type="expression" priority="133" id="{3E32D6B0-C29A-CF46-815A-C4AACE4DD359}">
            <xm:f>OR(Februar!$C9="ekskursion")</xm:f>
            <x14:dxf>
              <font>
                <color theme="1"/>
              </font>
              <fill>
                <patternFill>
                  <bgColor rgb="FFFFFF00"/>
                </patternFill>
              </fill>
            </x14:dxf>
          </x14:cfRule>
          <x14:cfRule type="expression" priority="134" id="{BAFC74E7-3387-3F4A-8B08-E025FEC5D4B8}">
            <xm:f>OR(Februar!$C9="lejrskole")</xm:f>
            <x14:dxf>
              <font>
                <color theme="1"/>
              </font>
              <fill>
                <patternFill>
                  <bgColor theme="8" tint="0.59996337778862885"/>
                </patternFill>
              </fill>
            </x14:dxf>
          </x14:cfRule>
          <x14:cfRule type="expression" priority="135" id="{D9AC2DC7-F273-124C-BECE-4EDC393AD917}">
            <xm:f>OR(Februar!$C9="emnedag")</xm:f>
            <x14:dxf>
              <font>
                <color theme="1"/>
              </font>
              <fill>
                <patternFill>
                  <bgColor theme="5" tint="0.59996337778862885"/>
                </patternFill>
              </fill>
            </x14:dxf>
          </x14:cfRule>
          <x14:cfRule type="expression" priority="37" id="{6636D9E6-DEAB-DC49-B2E0-79381616EAD3}">
            <xm:f>OR(Februar!$C9="Skema 2")</xm:f>
            <x14:dxf>
              <font>
                <color theme="1"/>
              </font>
              <fill>
                <patternFill patternType="solid">
                  <bgColor theme="4" tint="0.59996337778862885"/>
                </patternFill>
              </fill>
            </x14:dxf>
          </x14:cfRule>
          <x14:cfRule type="expression" priority="131" id="{B2971BB6-717E-C445-9A7A-06084A841112}">
            <xm:f>OR(Februar!$C9="SH-dag")</xm:f>
            <x14:dxf>
              <font>
                <color theme="1"/>
              </font>
              <fill>
                <patternFill>
                  <bgColor rgb="FFFF2F82"/>
                </patternFill>
              </fill>
            </x14:dxf>
          </x14:cfRule>
          <x14:cfRule type="expression" priority="38" id="{66656824-FD61-5347-9FF0-37E67A7BC2B1}">
            <xm:f>OR(Februar!$C9="Skema 3")</xm:f>
            <x14:dxf>
              <font>
                <color theme="0"/>
              </font>
              <fill>
                <patternFill patternType="solid">
                  <bgColor theme="4" tint="0.39994506668294322"/>
                </patternFill>
              </fill>
            </x14:dxf>
          </x14:cfRule>
          <x14:cfRule type="expression" priority="62" id="{BC93835C-53A2-BD4E-8ECB-2FEFF77E7184}">
            <xm:f>OR(Februar!$C9="Ikke relevant")</xm:f>
            <x14:dxf>
              <font>
                <color theme="0"/>
              </font>
              <fill>
                <patternFill>
                  <bgColor theme="1"/>
                </patternFill>
              </fill>
            </x14:dxf>
          </x14:cfRule>
          <x14:cfRule type="expression" priority="136" id="{5499E456-6CF2-DF42-BBBE-7C1B22D7FC31}">
            <xm:f>OR(Februar!$C9="fagdag")</xm:f>
            <x14:dxf>
              <font>
                <color theme="1"/>
              </font>
              <fill>
                <patternFill>
                  <bgColor theme="9" tint="0.59996337778862885"/>
                </patternFill>
              </fill>
            </x14:dxf>
          </x14:cfRule>
          <x14:cfRule type="expression" priority="137" id="{8D0EF236-2370-BE45-B4BA-78B35CE6FB2A}">
            <xm:f>OR(Februar!$C9="feriedag")</xm:f>
            <x14:dxf>
              <font>
                <color theme="1"/>
              </font>
              <fill>
                <patternFill>
                  <bgColor theme="6" tint="0.39994506668294322"/>
                </patternFill>
              </fill>
            </x14:dxf>
          </x14:cfRule>
          <x14:cfRule type="expression" priority="6" id="{EC7EDFE0-AC22-1145-8E32-09F0F8467530}">
            <xm:f>OR(Februar!$C9="Orlov")</xm:f>
            <x14:dxf>
              <font>
                <color theme="0"/>
              </font>
              <fill>
                <patternFill patternType="solid">
                  <bgColor theme="6" tint="-0.24994659260841701"/>
                </patternFill>
              </fill>
            </x14:dxf>
          </x14:cfRule>
          <x14:cfRule type="expression" priority="138" id="{D62194EC-DBC3-E643-B356-8455BEEF11CB}">
            <xm:f>OR(Februar!$C9="weekend")</xm:f>
            <x14:dxf>
              <font>
                <color theme="1"/>
              </font>
              <fill>
                <patternFill>
                  <bgColor theme="0" tint="-0.14996795556505021"/>
                </patternFill>
              </fill>
            </x14:dxf>
          </x14:cfRule>
          <xm:sqref>Y3:AB31</xm:sqref>
        </x14:conditionalFormatting>
        <x14:conditionalFormatting xmlns:xm="http://schemas.microsoft.com/office/excel/2006/main">
          <x14:cfRule type="expression" priority="31" id="{F2BAE797-0E72-AB42-AF6F-09B853846949}">
            <xm:f>OR(Marts!$C9="emnedag")</xm:f>
            <x14:dxf>
              <font>
                <color theme="1"/>
              </font>
              <fill>
                <patternFill>
                  <bgColor theme="5" tint="0.59996337778862885"/>
                </patternFill>
              </fill>
            </x14:dxf>
          </x14:cfRule>
          <x14:cfRule type="expression" priority="30" id="{A80B4D6A-75CF-4548-9330-9FC9FCE7A5FA}">
            <xm:f>OR(Marts!$C9="Fagdag")</xm:f>
            <x14:dxf>
              <font>
                <color theme="1"/>
              </font>
              <fill>
                <patternFill>
                  <bgColor theme="9" tint="0.79998168889431442"/>
                </patternFill>
              </fill>
            </x14:dxf>
          </x14:cfRule>
          <x14:cfRule type="expression" priority="32" id="{69E7399E-230E-6B42-AFC2-1F7A42FE136D}">
            <xm:f>OR(Marts!$C9="Feriedag")</xm:f>
            <x14:dxf>
              <font>
                <color theme="1"/>
              </font>
              <fill>
                <patternFill>
                  <bgColor theme="6" tint="0.39994506668294322"/>
                </patternFill>
              </fill>
            </x14:dxf>
          </x14:cfRule>
          <x14:cfRule type="expression" priority="5" id="{1329668A-E0BA-134B-BA16-68B55ED9CDEA}">
            <xm:f>OR(Marts!$C9="Orlov")</xm:f>
            <x14:dxf>
              <font>
                <color theme="0"/>
              </font>
              <fill>
                <patternFill>
                  <bgColor theme="6" tint="-0.24994659260841701"/>
                </patternFill>
              </fill>
            </x14:dxf>
          </x14:cfRule>
          <x14:cfRule type="expression" priority="28" id="{44AD5113-2B1D-2A4C-B4B5-8D052D6F953B}">
            <xm:f>OR(Marts!$C9="Skema 4")</xm:f>
            <x14:dxf>
              <font>
                <color theme="0"/>
              </font>
              <fill>
                <patternFill>
                  <bgColor theme="4" tint="-0.24994659260841701"/>
                </patternFill>
              </fill>
            </x14:dxf>
          </x14:cfRule>
          <x14:cfRule type="expression" priority="122" id="{E8F5F397-3C1C-9F4F-B625-0F2718E959E3}">
            <xm:f>OR(Marts!$C9="Nul-dag")</xm:f>
            <x14:dxf>
              <font>
                <color theme="1"/>
              </font>
              <fill>
                <patternFill>
                  <bgColor theme="5" tint="0.79998168889431442"/>
                </patternFill>
              </fill>
            </x14:dxf>
          </x14:cfRule>
          <x14:cfRule type="expression" priority="123" id="{05B6B027-6766-6C41-9896-74988A31F448}">
            <xm:f>OR(Marts!$C9="ekskursion")</xm:f>
            <x14:dxf>
              <font>
                <color theme="1"/>
              </font>
              <fill>
                <patternFill>
                  <bgColor rgb="FFFFFF00"/>
                </patternFill>
              </fill>
            </x14:dxf>
          </x14:cfRule>
          <x14:cfRule type="expression" priority="124" id="{D58C7885-2316-7946-AF45-3391E8C857A2}">
            <xm:f>OR(Marts!$C9="lejrskole")</xm:f>
            <x14:dxf>
              <font>
                <color theme="1"/>
              </font>
              <fill>
                <patternFill>
                  <bgColor theme="8" tint="0.59996337778862885"/>
                </patternFill>
              </fill>
            </x14:dxf>
          </x14:cfRule>
          <x14:cfRule type="expression" priority="61" id="{3D1CDA5E-D6C6-EF48-B32D-0C6C446B9E11}">
            <xm:f>OR(Marts!$C9="Ikke relevant")</xm:f>
            <x14:dxf>
              <font>
                <color theme="0"/>
              </font>
              <fill>
                <patternFill>
                  <bgColor theme="1"/>
                </patternFill>
              </fill>
            </x14:dxf>
          </x14:cfRule>
          <x14:cfRule type="expression" priority="25" id="{D50A413C-FFE9-1545-A219-8617B385DD2B}">
            <xm:f>OR(Marts!$C9="Skema 1")</xm:f>
            <x14:dxf>
              <font>
                <color theme="1"/>
              </font>
              <fill>
                <patternFill>
                  <bgColor theme="4" tint="0.79998168889431442"/>
                </patternFill>
              </fill>
            </x14:dxf>
          </x14:cfRule>
          <x14:cfRule type="expression" priority="24" id="{D0877CEF-96B2-C040-87AF-6A4E58D378C3}">
            <xm:f>OR(Marts!$C9="Pæd.dag")</xm:f>
            <x14:dxf>
              <font>
                <color theme="1"/>
              </font>
              <fill>
                <patternFill>
                  <bgColor theme="7" tint="0.59996337778862885"/>
                </patternFill>
              </fill>
            </x14:dxf>
          </x14:cfRule>
          <x14:cfRule type="expression" priority="23" id="{EFF93F1D-A12A-E642-A444-0AFA568DFF6A}">
            <xm:f>OR(Marts!$C9="Weekend")</xm:f>
            <x14:dxf>
              <font>
                <color theme="1"/>
              </font>
              <fill>
                <patternFill>
                  <bgColor theme="0" tint="-0.14996795556505021"/>
                </patternFill>
              </fill>
            </x14:dxf>
          </x14:cfRule>
          <x14:cfRule type="expression" priority="26" id="{2320F05F-B7EB-B842-AD61-9510873926FE}">
            <xm:f>OR(Marts!$C9="Skema 2")</xm:f>
            <x14:dxf>
              <font>
                <color theme="1"/>
              </font>
              <fill>
                <patternFill>
                  <fgColor auto="1"/>
                  <bgColor theme="4" tint="0.59996337778862885"/>
                </patternFill>
              </fill>
            </x14:dxf>
          </x14:cfRule>
          <x14:cfRule type="expression" priority="27" id="{30A76D2B-39F7-6045-8226-961E119DFA88}">
            <xm:f>OR(Marts!$C9="Skema 3")</xm:f>
            <x14:dxf>
              <font>
                <color theme="0"/>
              </font>
              <fill>
                <patternFill>
                  <bgColor theme="4" tint="0.39994506668294322"/>
                </patternFill>
              </fill>
            </x14:dxf>
          </x14:cfRule>
          <x14:cfRule type="expression" priority="29" id="{08C47B0C-B7CC-B445-9E97-B3FAD7E4B1F2}">
            <xm:f>OR(Marts!$C9="SH-dag")</xm:f>
            <x14:dxf>
              <font>
                <color theme="1"/>
              </font>
              <fill>
                <patternFill>
                  <bgColor rgb="FFFF2F82"/>
                </patternFill>
              </fill>
            </x14:dxf>
          </x14:cfRule>
          <xm:sqref>AC3:AF33</xm:sqref>
        </x14:conditionalFormatting>
        <x14:conditionalFormatting xmlns:xm="http://schemas.microsoft.com/office/excel/2006/main">
          <x14:cfRule type="expression" priority="128" id="{F73FC4B8-D7D9-F448-82F2-CE4F398A3033}">
            <xm:f>OR(April!$C9="weekend")</xm:f>
            <x14:dxf>
              <font>
                <color theme="1"/>
              </font>
              <fill>
                <patternFill>
                  <bgColor theme="0" tint="-0.14996795556505021"/>
                </patternFill>
              </fill>
            </x14:dxf>
          </x14:cfRule>
          <x14:cfRule type="expression" priority="127" id="{728174B4-8398-1043-9212-555FB92A5288}">
            <xm:f>OR(April!$C9="feriedag")</xm:f>
            <x14:dxf>
              <font>
                <color theme="1"/>
              </font>
              <fill>
                <patternFill>
                  <bgColor theme="6" tint="0.39994506668294322"/>
                </patternFill>
              </fill>
            </x14:dxf>
          </x14:cfRule>
          <x14:cfRule type="expression" priority="126" id="{419D5295-56E2-564D-8589-FD298CF1E8FF}">
            <xm:f>OR(April!$C9="fagdag")</xm:f>
            <x14:dxf>
              <font>
                <color theme="1"/>
              </font>
              <fill>
                <patternFill>
                  <bgColor theme="9" tint="0.59996337778862885"/>
                </patternFill>
              </fill>
            </x14:dxf>
          </x14:cfRule>
          <x14:cfRule type="expression" priority="125" id="{13A69E29-862C-6C41-BAF0-6C4173EE1798}">
            <xm:f>OR(April!$C9="emnedag")</xm:f>
            <x14:dxf>
              <font>
                <color theme="1"/>
              </font>
              <fill>
                <patternFill>
                  <bgColor theme="5" tint="0.59996337778862885"/>
                </patternFill>
              </fill>
            </x14:dxf>
          </x14:cfRule>
          <x14:cfRule type="expression" priority="121" id="{37E8FB27-3B1A-D043-9E7D-E9627DFC82B7}">
            <xm:f>OR(April!$C9="SH-dag")</xm:f>
            <x14:dxf>
              <font>
                <color theme="1"/>
              </font>
              <fill>
                <patternFill>
                  <bgColor rgb="FFFF2F82"/>
                </patternFill>
              </fill>
            </x14:dxf>
          </x14:cfRule>
          <x14:cfRule type="expression" priority="120" id="{7D7DAC9A-D7B8-E241-AD4D-C2943A4ABC4A}">
            <xm:f>OR(April!$C9="pæd.dag")</xm:f>
            <x14:dxf>
              <font>
                <color theme="1"/>
              </font>
              <fill>
                <patternFill>
                  <bgColor theme="7" tint="0.39994506668294322"/>
                </patternFill>
              </fill>
            </x14:dxf>
          </x14:cfRule>
          <x14:cfRule type="expression" priority="119" id="{FF336F9D-60DB-A44F-B258-84ED7DE56AEC}">
            <xm:f>OR(April!$C9="Skema 4")</xm:f>
            <x14:dxf>
              <font>
                <color theme="0"/>
              </font>
              <fill>
                <patternFill patternType="solid">
                  <bgColor theme="4" tint="-0.24994659260841701"/>
                </patternFill>
              </fill>
            </x14:dxf>
          </x14:cfRule>
          <x14:cfRule type="expression" priority="117" id="{761D4B71-3465-A442-A215-C89783DDA016}">
            <xm:f>OR(April!$C9="feriedag")</xm:f>
            <x14:dxf>
              <font>
                <color theme="1"/>
              </font>
              <fill>
                <patternFill>
                  <bgColor theme="6" tint="0.39994506668294322"/>
                </patternFill>
              </fill>
            </x14:dxf>
          </x14:cfRule>
          <x14:cfRule type="expression" priority="116" id="{EF6AF11E-FAB5-1C49-B57E-165FDACB4B5B}">
            <xm:f>OR(April!$C9="fagdag")</xm:f>
            <x14:dxf>
              <font>
                <color theme="1"/>
              </font>
              <fill>
                <patternFill>
                  <bgColor theme="9" tint="0.59996337778862885"/>
                </patternFill>
              </fill>
            </x14:dxf>
          </x14:cfRule>
          <x14:cfRule type="expression" priority="115" id="{7421CB58-9840-014D-AB84-C4FC129CF84F}">
            <xm:f>OR(April!$C9="emnedag")</xm:f>
            <x14:dxf>
              <font>
                <color theme="1"/>
              </font>
              <fill>
                <patternFill>
                  <bgColor theme="5" tint="0.59996337778862885"/>
                </patternFill>
              </fill>
            </x14:dxf>
          </x14:cfRule>
          <x14:cfRule type="expression" priority="112" id="{81172C6D-B6AD-8644-BFD4-28E3DE5619F6}">
            <xm:f>OR(April!$C9="Nul-dag")</xm:f>
            <x14:dxf>
              <font>
                <color theme="1"/>
              </font>
              <fill>
                <patternFill>
                  <bgColor theme="4" tint="0.39994506668294322"/>
                </patternFill>
              </fill>
            </x14:dxf>
          </x14:cfRule>
          <x14:cfRule type="expression" priority="104" id="{92698B96-4149-E347-BD79-9E80BEEB99D5}">
            <xm:f>OR(April!$C9="lejrskole")</xm:f>
            <x14:dxf>
              <font>
                <color theme="1"/>
              </font>
              <fill>
                <patternFill>
                  <bgColor theme="8" tint="0.59996337778862885"/>
                </patternFill>
              </fill>
            </x14:dxf>
          </x14:cfRule>
          <x14:cfRule type="expression" priority="103" id="{F139F015-C484-324E-A595-6D81BEADA472}">
            <xm:f>OR(April!$C9="ekskursion")</xm:f>
            <x14:dxf>
              <font>
                <color theme="1"/>
              </font>
              <fill>
                <patternFill>
                  <bgColor rgb="FFFFFF00"/>
                </patternFill>
              </fill>
            </x14:dxf>
          </x14:cfRule>
          <x14:cfRule type="expression" priority="102" id="{D255C484-02D2-6A46-B595-5C9F3E93F3EE}">
            <xm:f>OR(April!$C9="Nul-dag")</xm:f>
            <x14:dxf>
              <font>
                <color theme="1"/>
              </font>
              <fill>
                <patternFill>
                  <bgColor theme="5" tint="0.79998168889431442"/>
                </patternFill>
              </fill>
            </x14:dxf>
          </x14:cfRule>
          <x14:cfRule type="expression" priority="101" id="{84F41FFD-929D-B540-826B-84F1B92F10BD}">
            <xm:f>OR(April!$C9="SH-dag")</xm:f>
            <x14:dxf>
              <font>
                <color theme="1"/>
              </font>
              <fill>
                <patternFill>
                  <bgColor rgb="FFFF2F82"/>
                </patternFill>
              </fill>
            </x14:dxf>
          </x14:cfRule>
          <x14:cfRule type="expression" priority="100" id="{AD78583D-CE68-0144-9F3D-7DE5EE58A184}">
            <xm:f>OR(April!$C9="pæd.dag")</xm:f>
            <x14:dxf>
              <font>
                <color theme="1"/>
              </font>
              <fill>
                <patternFill>
                  <bgColor theme="7" tint="0.39994506668294322"/>
                </patternFill>
              </fill>
            </x14:dxf>
          </x14:cfRule>
          <x14:cfRule type="expression" priority="99" id="{B5669EAA-46AA-B442-8C66-BBA754230F3F}">
            <xm:f>OR(April!$C9="Skema 4")</xm:f>
            <x14:dxf>
              <font>
                <color theme="0"/>
              </font>
              <fill>
                <patternFill patternType="solid">
                  <bgColor theme="4" tint="-0.24994659260841701"/>
                </patternFill>
              </fill>
            </x14:dxf>
          </x14:cfRule>
          <x14:cfRule type="expression" priority="34" id="{F7F86131-32FE-9347-B5D5-F725FEF978B4}">
            <xm:f>OR(April!$C9="Skema 2")</xm:f>
            <x14:dxf>
              <font>
                <color theme="1"/>
              </font>
              <fill>
                <patternFill patternType="solid">
                  <bgColor theme="4" tint="0.59996337778862885"/>
                </patternFill>
              </fill>
            </x14:dxf>
          </x14:cfRule>
          <x14:cfRule type="expression" priority="35" id="{5A6B9A30-1A90-9941-8049-9AFA51BBF545}">
            <xm:f>OR(April!$C9="Skema 3")</xm:f>
            <x14:dxf>
              <font>
                <color theme="0"/>
              </font>
              <fill>
                <patternFill patternType="solid">
                  <bgColor theme="4" tint="0.39994506668294322"/>
                </patternFill>
              </fill>
            </x14:dxf>
          </x14:cfRule>
          <x14:cfRule type="expression" priority="4" id="{75A0D862-4B79-DF4C-96D7-975CDE41E26E}">
            <xm:f>OR(April!$C9="Orlov")</xm:f>
            <x14:dxf>
              <font>
                <color theme="0"/>
              </font>
              <fill>
                <patternFill patternType="solid">
                  <fgColor auto="1"/>
                  <bgColor theme="6" tint="-0.24994659260841701"/>
                </patternFill>
              </fill>
            </x14:dxf>
          </x14:cfRule>
          <x14:cfRule type="expression" priority="60" id="{13DCA5D4-CEB4-D246-9413-9A5820048ADC}">
            <xm:f>OR(April!$C9="Ikke relevant")</xm:f>
            <x14:dxf>
              <font>
                <color theme="0"/>
              </font>
              <fill>
                <patternFill>
                  <bgColor theme="1"/>
                </patternFill>
              </fill>
            </x14:dxf>
          </x14:cfRule>
          <x14:cfRule type="expression" priority="33" id="{14A961E6-D445-4F40-8552-BBA0BD72E551}">
            <xm:f>OR(April!$C9="Skema 1")</xm:f>
            <x14:dxf>
              <font>
                <color theme="1"/>
              </font>
              <fill>
                <patternFill patternType="solid">
                  <fgColor indexed="64"/>
                  <bgColor theme="4" tint="0.79998168889431442"/>
                </patternFill>
              </fill>
            </x14:dxf>
          </x14:cfRule>
          <xm:sqref>AG3:AJ32</xm:sqref>
        </x14:conditionalFormatting>
        <x14:conditionalFormatting xmlns:xm="http://schemas.microsoft.com/office/excel/2006/main">
          <x14:cfRule type="expression" priority="98" id="{7E59330B-96DB-C040-A14A-F1A2B9AB4318}">
            <xm:f>OR(Maj!$C9="weekend")</xm:f>
            <x14:dxf>
              <font>
                <color theme="1"/>
              </font>
              <fill>
                <patternFill>
                  <bgColor theme="0" tint="-0.14996795556505021"/>
                </patternFill>
              </fill>
            </x14:dxf>
          </x14:cfRule>
          <x14:cfRule type="expression" priority="97" id="{24A584C9-FA13-BC4C-A8C5-DF4D17D9AF79}">
            <xm:f>OR(Maj!$C9="feriedag")</xm:f>
            <x14:dxf>
              <font>
                <color theme="1"/>
              </font>
              <fill>
                <patternFill>
                  <bgColor theme="6" tint="0.39994506668294322"/>
                </patternFill>
              </fill>
            </x14:dxf>
          </x14:cfRule>
          <x14:cfRule type="expression" priority="96" id="{B865FFC3-5888-8F4D-9AC2-6B57A380533A}">
            <xm:f>OR(Maj!$C9="fagdag")</xm:f>
            <x14:dxf>
              <font>
                <color theme="1"/>
              </font>
              <fill>
                <patternFill>
                  <bgColor theme="9" tint="0.59996337778862885"/>
                </patternFill>
              </fill>
            </x14:dxf>
          </x14:cfRule>
          <x14:cfRule type="expression" priority="95" id="{ABF8F2CE-D51D-1244-8F14-515B5A35F404}">
            <xm:f>OR(Maj!$C9="emnedag")</xm:f>
            <x14:dxf>
              <font>
                <color theme="1"/>
              </font>
              <fill>
                <patternFill>
                  <bgColor theme="5" tint="0.59996337778862885"/>
                </patternFill>
              </fill>
            </x14:dxf>
          </x14:cfRule>
          <x14:cfRule type="expression" priority="94" id="{82085A1E-7917-F545-8F2E-513CBAD8F553}">
            <xm:f>OR(Maj!$C9="lejrskole")</xm:f>
            <x14:dxf>
              <font>
                <color theme="1"/>
              </font>
              <fill>
                <patternFill>
                  <bgColor theme="8" tint="0.59996337778862885"/>
                </patternFill>
              </fill>
            </x14:dxf>
          </x14:cfRule>
          <x14:cfRule type="expression" priority="93" id="{666D0556-E702-2341-A72E-2B9F13E7FC47}">
            <xm:f>OR(Maj!$C9="ekskursion")</xm:f>
            <x14:dxf>
              <font>
                <color theme="1"/>
              </font>
              <fill>
                <patternFill>
                  <bgColor rgb="FFFFFF00"/>
                </patternFill>
              </fill>
            </x14:dxf>
          </x14:cfRule>
          <x14:cfRule type="expression" priority="92" id="{A9DCD5EC-6BD7-1A4E-82F4-25BE1B79C7A4}">
            <xm:f>OR(Maj!$C9="Nul-dag")</xm:f>
            <x14:dxf>
              <font>
                <color theme="1"/>
              </font>
              <fill>
                <patternFill>
                  <bgColor theme="5" tint="0.79998168889431442"/>
                </patternFill>
              </fill>
            </x14:dxf>
          </x14:cfRule>
          <x14:cfRule type="expression" priority="91" id="{EE91C3FE-C161-E742-80B4-767D59F2B75D}">
            <xm:f>OR(Maj!$C9="SH-dag")</xm:f>
            <x14:dxf>
              <font>
                <color theme="1"/>
              </font>
              <fill>
                <patternFill>
                  <bgColor rgb="FFFF2F82"/>
                </patternFill>
              </fill>
            </x14:dxf>
          </x14:cfRule>
          <x14:cfRule type="expression" priority="90" id="{4CCE6509-99A2-FA48-B709-A287AFDCC9DF}">
            <xm:f>OR(Maj!$C9="pæd.dag")</xm:f>
            <x14:dxf>
              <font>
                <color theme="1"/>
              </font>
              <fill>
                <patternFill>
                  <bgColor theme="7" tint="0.39994506668294322"/>
                </patternFill>
              </fill>
            </x14:dxf>
          </x14:cfRule>
          <x14:cfRule type="expression" priority="89" id="{0DED5A84-E145-8B4F-8BC5-71CD36867E86}">
            <xm:f>OR(Maj!$C9="Skema 4")</xm:f>
            <x14:dxf>
              <font>
                <color theme="0"/>
              </font>
              <fill>
                <patternFill patternType="solid">
                  <bgColor theme="4" tint="-0.24994659260841701"/>
                </patternFill>
              </fill>
            </x14:dxf>
          </x14:cfRule>
          <x14:cfRule type="expression" priority="21" id="{D18964FE-CA8F-614A-98C3-89EAA97B6565}">
            <xm:f>OR(Maj!$C9="Skema 3")</xm:f>
            <x14:dxf>
              <font>
                <color theme="0"/>
              </font>
              <fill>
                <patternFill patternType="solid">
                  <bgColor theme="4" tint="0.39994506668294322"/>
                </patternFill>
              </fill>
            </x14:dxf>
          </x14:cfRule>
          <x14:cfRule type="expression" priority="20" id="{B24CCA6C-10FA-534E-863A-80455DF77438}">
            <xm:f>OR(Maj!$C9="Skema 2")</xm:f>
            <x14:dxf>
              <font>
                <color theme="1"/>
              </font>
              <fill>
                <patternFill patternType="solid">
                  <bgColor theme="4" tint="0.59996337778862885"/>
                </patternFill>
              </fill>
            </x14:dxf>
          </x14:cfRule>
          <x14:cfRule type="expression" priority="19" id="{BAC00EBF-56EA-1E46-BEB1-416A2EA92B89}">
            <xm:f>OR(Maj!$C9="Skema 1")</xm:f>
            <x14:dxf>
              <font>
                <color theme="1"/>
              </font>
              <fill>
                <patternFill patternType="solid">
                  <bgColor theme="4" tint="0.79998168889431442"/>
                </patternFill>
              </fill>
            </x14:dxf>
          </x14:cfRule>
          <x14:cfRule type="expression" priority="3" id="{2315DCF1-BF9F-D14B-9E32-21F5DAD750E3}">
            <xm:f>OR(Maj!$C9="Orlov")</xm:f>
            <x14:dxf>
              <font>
                <color theme="0"/>
              </font>
              <fill>
                <patternFill patternType="solid">
                  <bgColor theme="6" tint="-0.24994659260841701"/>
                </patternFill>
              </fill>
            </x14:dxf>
          </x14:cfRule>
          <x14:cfRule type="expression" priority="59" id="{9F40E627-AFD2-FC4B-80E0-F15C70A29DAE}">
            <xm:f>OR(Maj!$C9="Ikke relevant")</xm:f>
            <x14:dxf>
              <font>
                <color theme="0"/>
              </font>
              <fill>
                <patternFill>
                  <bgColor theme="1"/>
                </patternFill>
              </fill>
            </x14:dxf>
          </x14:cfRule>
          <xm:sqref>AK3:AN33</xm:sqref>
        </x14:conditionalFormatting>
        <x14:conditionalFormatting xmlns:xm="http://schemas.microsoft.com/office/excel/2006/main">
          <x14:cfRule type="expression" priority="84" id="{DB8EEB9E-E706-F047-91E6-DA12DC040947}">
            <xm:f>OR(Juni!$C9="lejrskole")</xm:f>
            <x14:dxf>
              <font>
                <color theme="1"/>
              </font>
              <fill>
                <patternFill>
                  <bgColor theme="8" tint="0.59996337778862885"/>
                </patternFill>
              </fill>
            </x14:dxf>
          </x14:cfRule>
          <x14:cfRule type="expression" priority="82" id="{537A0E4E-B81E-4042-9968-1A035F7EEA32}">
            <xm:f>OR(Juni!$C9="Nul-dag")</xm:f>
            <x14:dxf>
              <font>
                <color theme="1"/>
              </font>
              <fill>
                <patternFill>
                  <bgColor theme="5" tint="0.79998168889431442"/>
                </patternFill>
              </fill>
            </x14:dxf>
          </x14:cfRule>
          <x14:cfRule type="expression" priority="81" id="{3A3E5335-1566-8A40-BC4C-F00B268940A5}">
            <xm:f>OR(Juni!$C9="SH-dag")</xm:f>
            <x14:dxf>
              <font>
                <color theme="1"/>
              </font>
              <fill>
                <patternFill>
                  <bgColor rgb="FFFF2F82"/>
                </patternFill>
              </fill>
            </x14:dxf>
          </x14:cfRule>
          <x14:cfRule type="expression" priority="80" id="{4AC4C88E-D6F1-4A4D-A4DC-7907E1DC992F}">
            <xm:f>OR(Juni!$C9="pæd.dag")</xm:f>
            <x14:dxf>
              <font>
                <color theme="1"/>
              </font>
              <fill>
                <patternFill>
                  <bgColor theme="7" tint="0.39994506668294322"/>
                </patternFill>
              </fill>
            </x14:dxf>
          </x14:cfRule>
          <x14:cfRule type="expression" priority="79" id="{B9466E91-588B-1145-B919-736AF6B91180}">
            <xm:f>OR(Juni!$C9="Skema 4")</xm:f>
            <x14:dxf>
              <font>
                <color theme="0"/>
              </font>
              <fill>
                <patternFill patternType="solid">
                  <bgColor theme="4" tint="-0.24994659260841701"/>
                </patternFill>
              </fill>
            </x14:dxf>
          </x14:cfRule>
          <x14:cfRule type="expression" priority="2" id="{DD9FB78E-6E03-7949-8A2B-4A342624138D}">
            <xm:f>OR(Juni!$C9="Orlov")</xm:f>
            <x14:dxf>
              <font>
                <color theme="0"/>
              </font>
              <fill>
                <patternFill patternType="solid">
                  <fgColor indexed="64"/>
                  <bgColor theme="6" tint="-0.24994659260841701"/>
                </patternFill>
              </fill>
            </x14:dxf>
          </x14:cfRule>
          <x14:cfRule type="expression" priority="85" id="{3D769FF0-D4BB-2949-BA58-D3FBDD560B74}">
            <xm:f>OR(Juni!$C9="emnedag")</xm:f>
            <x14:dxf>
              <font>
                <color theme="1"/>
              </font>
              <fill>
                <patternFill>
                  <bgColor theme="5" tint="0.59996337778862885"/>
                </patternFill>
              </fill>
            </x14:dxf>
          </x14:cfRule>
          <x14:cfRule type="expression" priority="16" id="{805DF385-1BA7-F94D-BB28-D7AA163B94D3}">
            <xm:f>OR(Juni!$C9="Skema 1")</xm:f>
            <x14:dxf>
              <font>
                <color theme="1"/>
              </font>
              <fill>
                <patternFill patternType="solid">
                  <fgColor indexed="64"/>
                  <bgColor theme="4" tint="0.79998168889431442"/>
                </patternFill>
              </fill>
            </x14:dxf>
          </x14:cfRule>
          <x14:cfRule type="expression" priority="17" id="{6C44B821-4836-2642-9171-9698DDAB80D9}">
            <xm:f>OR(Juni!$C9="Skema 2")</xm:f>
            <x14:dxf>
              <font>
                <color theme="1"/>
              </font>
              <fill>
                <patternFill patternType="solid">
                  <bgColor theme="4" tint="0.59996337778862885"/>
                </patternFill>
              </fill>
            </x14:dxf>
          </x14:cfRule>
          <x14:cfRule type="expression" priority="18" id="{2A790725-BAF3-974B-B84C-7E16FC83C9C0}">
            <xm:f>OR(Juni!$C9="Skema 3")</xm:f>
            <x14:dxf>
              <font>
                <color theme="0"/>
              </font>
              <fill>
                <patternFill patternType="solid">
                  <bgColor theme="4" tint="0.39994506668294322"/>
                </patternFill>
              </fill>
            </x14:dxf>
          </x14:cfRule>
          <x14:cfRule type="expression" priority="86" id="{1D87371B-0089-B543-B1D8-3016783D4A31}">
            <xm:f>OR(Juni!$C9="fagdag")</xm:f>
            <x14:dxf>
              <font>
                <color theme="1"/>
              </font>
              <fill>
                <patternFill>
                  <bgColor theme="9" tint="0.59996337778862885"/>
                </patternFill>
              </fill>
            </x14:dxf>
          </x14:cfRule>
          <x14:cfRule type="expression" priority="87" id="{1B5E7828-6741-2143-A1C5-8297B143A2D3}">
            <xm:f>OR(Juni!$C9="feriedag")</xm:f>
            <x14:dxf>
              <font>
                <color theme="1"/>
              </font>
              <fill>
                <patternFill>
                  <bgColor theme="6" tint="0.39994506668294322"/>
                </patternFill>
              </fill>
            </x14:dxf>
          </x14:cfRule>
          <x14:cfRule type="expression" priority="88" id="{60DDF301-B355-D64D-895B-2BDBE9AD46CB}">
            <xm:f>OR(Juni!$C9="weekend")</xm:f>
            <x14:dxf>
              <font>
                <color theme="1"/>
              </font>
              <fill>
                <patternFill>
                  <bgColor theme="0" tint="-0.14996795556505021"/>
                </patternFill>
              </fill>
            </x14:dxf>
          </x14:cfRule>
          <x14:cfRule type="expression" priority="58" id="{0A1B34DB-0856-5042-814E-734C7A1043A1}">
            <xm:f>OR(Juni!$C9="Ikke relevant")</xm:f>
            <x14:dxf>
              <font>
                <color theme="0"/>
              </font>
              <fill>
                <patternFill>
                  <bgColor theme="1"/>
                </patternFill>
              </fill>
            </x14:dxf>
          </x14:cfRule>
          <x14:cfRule type="expression" priority="83" id="{39FBE78A-ECFD-E947-AD99-BF353344C554}">
            <xm:f>OR(Juni!$C9="ekskursion")</xm:f>
            <x14:dxf>
              <font>
                <color theme="1"/>
              </font>
              <fill>
                <patternFill>
                  <bgColor rgb="FFFFFF00"/>
                </patternFill>
              </fill>
            </x14:dxf>
          </x14:cfRule>
          <xm:sqref>AO3:AR32</xm:sqref>
        </x14:conditionalFormatting>
        <x14:conditionalFormatting xmlns:xm="http://schemas.microsoft.com/office/excel/2006/main">
          <x14:cfRule type="expression" priority="69" id="{DD788696-EA6F-AA40-9431-565F2EC8467C}">
            <xm:f>OR(Juli!$C9="Skema 4")</xm:f>
            <x14:dxf>
              <font>
                <color theme="0"/>
              </font>
              <fill>
                <patternFill patternType="solid">
                  <bgColor theme="4" tint="-0.24994659260841701"/>
                </patternFill>
              </fill>
            </x14:dxf>
          </x14:cfRule>
          <x14:cfRule type="expression" priority="70" id="{F4BC600F-6F50-8540-AA42-28D963EA94BE}">
            <xm:f>OR(Juli!$C9="pæd.dag")</xm:f>
            <x14:dxf>
              <font>
                <color theme="1"/>
              </font>
              <fill>
                <patternFill>
                  <bgColor theme="7" tint="0.39994506668294322"/>
                </patternFill>
              </fill>
            </x14:dxf>
          </x14:cfRule>
          <x14:cfRule type="expression" priority="57" id="{EFC9AD81-9D7F-8348-BA4D-22C47AD8259C}">
            <xm:f>OR(Juli!$C9="Ikke relevant")</xm:f>
            <x14:dxf>
              <font>
                <color theme="0"/>
              </font>
              <fill>
                <patternFill>
                  <bgColor theme="1"/>
                </patternFill>
              </fill>
            </x14:dxf>
          </x14:cfRule>
          <x14:cfRule type="expression" priority="71" id="{E5436F53-31EB-3244-A23B-402691DE6732}">
            <xm:f>OR(Juli!$C9="SH-dag")</xm:f>
            <x14:dxf>
              <font>
                <color theme="1"/>
              </font>
              <fill>
                <patternFill>
                  <bgColor rgb="FFFF2F82"/>
                </patternFill>
              </fill>
            </x14:dxf>
          </x14:cfRule>
          <x14:cfRule type="expression" priority="72" id="{8F3DFF6B-F0D6-3B46-9DAA-F8E4498CBBAB}">
            <xm:f>OR(Juli!$C9="Nul-dag")</xm:f>
            <x14:dxf>
              <font>
                <color theme="1"/>
              </font>
              <fill>
                <patternFill>
                  <bgColor theme="5" tint="0.79998168889431442"/>
                </patternFill>
              </fill>
            </x14:dxf>
          </x14:cfRule>
          <x14:cfRule type="expression" priority="73" id="{5DA8D5E7-74E3-0A45-813C-E354F9D32CC5}">
            <xm:f>OR(Juli!$C9="ekskursion")</xm:f>
            <x14:dxf>
              <font>
                <color theme="1"/>
              </font>
              <fill>
                <patternFill>
                  <bgColor rgb="FFFFFF00"/>
                </patternFill>
              </fill>
            </x14:dxf>
          </x14:cfRule>
          <x14:cfRule type="expression" priority="74" id="{E2BDBC6F-606D-DE49-9FAA-ADECC50DD0C4}">
            <xm:f>OR(Juli!$C9="lejrskole")</xm:f>
            <x14:dxf>
              <font>
                <color theme="1"/>
              </font>
              <fill>
                <patternFill>
                  <bgColor theme="8" tint="0.59996337778862885"/>
                </patternFill>
              </fill>
            </x14:dxf>
          </x14:cfRule>
          <x14:cfRule type="expression" priority="75" id="{42D5756F-6404-4B4B-B504-983F1E95C4DE}">
            <xm:f>OR(Juli!$C9="emnedag")</xm:f>
            <x14:dxf>
              <font>
                <color theme="1"/>
              </font>
              <fill>
                <patternFill>
                  <bgColor theme="5" tint="0.59996337778862885"/>
                </patternFill>
              </fill>
            </x14:dxf>
          </x14:cfRule>
          <x14:cfRule type="expression" priority="76" id="{4A50585A-46E7-C14D-A57F-625777D1D131}">
            <xm:f>OR(Juli!$C9="fagdag")</xm:f>
            <x14:dxf>
              <font>
                <color theme="1"/>
              </font>
              <fill>
                <patternFill>
                  <bgColor theme="9" tint="0.59996337778862885"/>
                </patternFill>
              </fill>
            </x14:dxf>
          </x14:cfRule>
          <x14:cfRule type="expression" priority="15" id="{B80C61EE-18B4-9D48-90B7-ACECD20D73F5}">
            <xm:f>OR(Juli!$C9="Skema 3")</xm:f>
            <x14:dxf>
              <font>
                <color theme="0"/>
              </font>
              <fill>
                <patternFill patternType="solid">
                  <bgColor theme="4" tint="0.39994506668294322"/>
                </patternFill>
              </fill>
            </x14:dxf>
          </x14:cfRule>
          <x14:cfRule type="expression" priority="14" id="{8A5B3FE1-EBFC-A04A-9492-2F2429165AC5}">
            <xm:f>OR(Juli!$C9="Skema 2")</xm:f>
            <x14:dxf>
              <font>
                <color theme="1"/>
              </font>
              <fill>
                <patternFill patternType="solid">
                  <bgColor theme="4" tint="0.59996337778862885"/>
                </patternFill>
              </fill>
            </x14:dxf>
          </x14:cfRule>
          <x14:cfRule type="expression" priority="13" id="{8BD64C64-9CD9-D84D-A525-D1C55CB5B2BD}">
            <xm:f>OR(Juli!$C9="Skema 1")</xm:f>
            <x14:dxf>
              <font>
                <color theme="1"/>
              </font>
              <fill>
                <patternFill patternType="solid">
                  <bgColor theme="4" tint="0.79998168889431442"/>
                </patternFill>
              </fill>
            </x14:dxf>
          </x14:cfRule>
          <x14:cfRule type="expression" priority="77" id="{D57FEC54-25BE-0941-AACE-37E91C55E9ED}">
            <xm:f>OR(Juli!$C9="feriedag")</xm:f>
            <x14:dxf>
              <font>
                <color theme="1"/>
              </font>
              <fill>
                <patternFill>
                  <bgColor theme="6" tint="0.39994506668294322"/>
                </patternFill>
              </fill>
            </x14:dxf>
          </x14:cfRule>
          <x14:cfRule type="expression" priority="78" id="{F32BF492-1A71-F04B-81AF-EF80576A4DAE}">
            <xm:f>OR(Juli!$C9="weekend")</xm:f>
            <x14:dxf>
              <font>
                <color theme="1"/>
              </font>
              <fill>
                <patternFill>
                  <bgColor theme="0" tint="-0.14996795556505021"/>
                </patternFill>
              </fill>
            </x14:dxf>
          </x14:cfRule>
          <x14:cfRule type="expression" priority="1" id="{2A4C769B-E6AC-6B44-BC58-01081A6A70AB}">
            <xm:f>OR(Juli!$C9="Orlov")</xm:f>
            <x14:dxf>
              <font>
                <color theme="0"/>
              </font>
              <fill>
                <patternFill patternType="solid">
                  <bgColor theme="6" tint="-0.24994659260841701"/>
                </patternFill>
              </fill>
            </x14:dxf>
          </x14:cfRule>
          <xm:sqref>AS3:AV33</xm:sqref>
        </x14:conditionalFormatting>
      </x14:conditionalFormattings>
    </ext>
    <ext xmlns:mx="http://schemas.microsoft.com/office/mac/excel/2008/main" uri="{64002731-A6B0-56B0-2670-7721B7C09600}">
      <mx:PLV Mode="1" OnePage="0" WScale="10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D41"/>
  <sheetViews>
    <sheetView showGridLines="0" showZeros="0" topLeftCell="A17" zoomScale="75" zoomScaleNormal="80" zoomScalePageLayoutView="80" workbookViewId="0">
      <selection activeCell="W34" sqref="W34"/>
    </sheetView>
  </sheetViews>
  <sheetFormatPr baseColWidth="10" defaultRowHeight="36" customHeight="1"/>
  <cols>
    <col min="1" max="2" width="4.33203125" style="78" customWidth="1"/>
    <col min="3" max="3" width="8.33203125" style="79" customWidth="1"/>
    <col min="4" max="4" width="20.1640625" style="79" customWidth="1"/>
    <col min="5" max="5" width="4" style="77" customWidth="1"/>
    <col min="6" max="7" width="4.33203125" style="78" customWidth="1"/>
    <col min="8" max="8" width="8.33203125" style="79" customWidth="1"/>
    <col min="9" max="9" width="20.1640625" style="79" customWidth="1"/>
    <col min="10" max="10" width="4" style="77" customWidth="1"/>
    <col min="11" max="12" width="4.33203125" style="78" customWidth="1"/>
    <col min="13" max="13" width="8.5" style="79" customWidth="1"/>
    <col min="14" max="14" width="20.1640625" style="79" customWidth="1"/>
    <col min="15" max="15" width="4" style="77" customWidth="1"/>
    <col min="16" max="17" width="4.33203125" style="78" customWidth="1"/>
    <col min="18" max="18" width="8.5" style="79" customWidth="1"/>
    <col min="19" max="19" width="20.1640625" style="79" customWidth="1"/>
    <col min="20" max="20" width="3.5" style="77" customWidth="1"/>
    <col min="21" max="21" width="5.6640625" style="78" customWidth="1"/>
    <col min="22" max="22" width="4.33203125" style="78" customWidth="1"/>
    <col min="23" max="23" width="8.33203125" style="79" customWidth="1"/>
    <col min="24" max="24" width="20.33203125" style="79" customWidth="1"/>
    <col min="25" max="25" width="4" style="77" customWidth="1"/>
    <col min="26" max="27" width="4.33203125" style="78" customWidth="1"/>
    <col min="28" max="28" width="8.5" style="79" customWidth="1"/>
    <col min="29" max="29" width="20.33203125" style="79" customWidth="1"/>
    <col min="30" max="30" width="3.1640625" style="77" customWidth="1"/>
    <col min="31" max="34" width="10.83203125" style="66"/>
    <col min="35" max="35" width="26.6640625" style="66" customWidth="1"/>
    <col min="36" max="16384" width="10.83203125" style="66"/>
  </cols>
  <sheetData>
    <row r="1" spans="1:30" s="64" customFormat="1" ht="36" customHeight="1">
      <c r="A1" s="655" t="str">
        <f>"Halvårskalender for "&amp;Stamoplysninger!E8&amp;" vedr. skoleåret "&amp;Vejledning!B2&amp;""</f>
        <v>Halvårskalender for  vedr. skoleåret 2023-2024</v>
      </c>
      <c r="B1" s="656"/>
      <c r="C1" s="657"/>
      <c r="D1" s="657"/>
      <c r="E1" s="660"/>
      <c r="F1" s="659"/>
      <c r="G1" s="656"/>
      <c r="H1" s="657"/>
      <c r="I1" s="657"/>
      <c r="J1" s="660"/>
      <c r="K1" s="659"/>
      <c r="L1" s="656"/>
      <c r="M1" s="657"/>
      <c r="N1" s="657"/>
      <c r="O1" s="660"/>
      <c r="P1" s="659"/>
      <c r="Q1" s="656"/>
      <c r="R1" s="657"/>
      <c r="S1" s="657"/>
      <c r="T1" s="660"/>
      <c r="U1" s="659"/>
      <c r="V1" s="656"/>
      <c r="W1" s="657"/>
      <c r="X1" s="657"/>
      <c r="Y1" s="660"/>
      <c r="Z1" s="659"/>
      <c r="AA1" s="656"/>
      <c r="AB1" s="657"/>
      <c r="AC1" s="657"/>
      <c r="AD1" s="658"/>
    </row>
    <row r="2" spans="1:30" s="65" customFormat="1" ht="23" customHeight="1">
      <c r="A2" s="644" t="s">
        <v>92</v>
      </c>
      <c r="B2" s="645"/>
      <c r="C2" s="646"/>
      <c r="D2" s="646"/>
      <c r="E2" s="647"/>
      <c r="F2" s="648" t="s">
        <v>93</v>
      </c>
      <c r="G2" s="645"/>
      <c r="H2" s="646"/>
      <c r="I2" s="646"/>
      <c r="J2" s="647"/>
      <c r="K2" s="649" t="s">
        <v>94</v>
      </c>
      <c r="L2" s="645"/>
      <c r="M2" s="646"/>
      <c r="N2" s="646"/>
      <c r="O2" s="647"/>
      <c r="P2" s="644" t="s">
        <v>95</v>
      </c>
      <c r="Q2" s="645"/>
      <c r="R2" s="646"/>
      <c r="S2" s="646"/>
      <c r="T2" s="647"/>
      <c r="U2" s="644" t="s">
        <v>96</v>
      </c>
      <c r="V2" s="645"/>
      <c r="W2" s="646"/>
      <c r="X2" s="646"/>
      <c r="Y2" s="647"/>
      <c r="Z2" s="644" t="s">
        <v>97</v>
      </c>
      <c r="AA2" s="645"/>
      <c r="AB2" s="646"/>
      <c r="AC2" s="646"/>
      <c r="AD2" s="647"/>
    </row>
    <row r="3" spans="1:30" ht="35" customHeight="1">
      <c r="A3" s="634">
        <f>Aar!A3</f>
        <v>1</v>
      </c>
      <c r="B3" s="132" t="str">
        <f>Aar!B3</f>
        <v>ti</v>
      </c>
      <c r="C3" s="133" t="str">
        <f>August!C10</f>
        <v>Feriedag</v>
      </c>
      <c r="D3" s="641" t="str">
        <f>August!DN10</f>
        <v>Sommerferie</v>
      </c>
      <c r="E3" s="637" t="str">
        <f>Aar!D3</f>
        <v/>
      </c>
      <c r="F3" s="132">
        <f>Aar!E3</f>
        <v>1</v>
      </c>
      <c r="G3" s="132" t="str">
        <f>Aar!F3</f>
        <v>fr</v>
      </c>
      <c r="H3" s="133" t="str">
        <f>September!C9</f>
        <v>Skema 1</v>
      </c>
      <c r="I3" s="641" t="str">
        <f>September!DN9</f>
        <v/>
      </c>
      <c r="J3" s="637" t="str">
        <f>Aar!H3</f>
        <v/>
      </c>
      <c r="K3" s="132">
        <f>Aar!I3</f>
        <v>1</v>
      </c>
      <c r="L3" s="132" t="str">
        <f>Aar!J3</f>
        <v>sø</v>
      </c>
      <c r="M3" s="133" t="str">
        <f>Oktober!C9</f>
        <v>Weekend</v>
      </c>
      <c r="N3" s="641" t="str">
        <f>Oktober!DN9</f>
        <v/>
      </c>
      <c r="O3" s="636" t="str">
        <f>Aar!L3</f>
        <v/>
      </c>
      <c r="P3" s="634">
        <f>Aar!M3</f>
        <v>1</v>
      </c>
      <c r="Q3" s="132" t="str">
        <f>Aar!N3</f>
        <v>on</v>
      </c>
      <c r="R3" s="133" t="str">
        <f>November!C9</f>
        <v>Skema 1</v>
      </c>
      <c r="S3" s="643" t="str">
        <f>November!DN9</f>
        <v/>
      </c>
      <c r="T3" s="637" t="str">
        <f>Aar!P3</f>
        <v/>
      </c>
      <c r="U3" s="634">
        <f>Aar!Q3</f>
        <v>1</v>
      </c>
      <c r="V3" s="132" t="str">
        <f>Aar!R3</f>
        <v>fr</v>
      </c>
      <c r="W3" s="133" t="str">
        <f>December!C9</f>
        <v>Skema 1</v>
      </c>
      <c r="X3" s="641" t="str">
        <f>December!DN9</f>
        <v/>
      </c>
      <c r="Y3" s="637" t="str">
        <f>Aar!T3</f>
        <v/>
      </c>
      <c r="Z3" s="634">
        <f>Aar!U3</f>
        <v>1</v>
      </c>
      <c r="AA3" s="132" t="str">
        <f>Aar!V3</f>
        <v>ma</v>
      </c>
      <c r="AB3" s="133" t="str">
        <f>Januar!C9</f>
        <v>SH-dag</v>
      </c>
      <c r="AC3" s="641" t="str">
        <f>Januar!DN9</f>
        <v>Nytårsdag</v>
      </c>
      <c r="AD3" s="637">
        <f>Aar!X3</f>
        <v>1</v>
      </c>
    </row>
    <row r="4" spans="1:30" ht="35" customHeight="1">
      <c r="A4" s="634">
        <f>Aar!A4</f>
        <v>2</v>
      </c>
      <c r="B4" s="132" t="str">
        <f>Aar!B4</f>
        <v>on</v>
      </c>
      <c r="C4" s="133" t="str">
        <f>August!C11</f>
        <v>Feriedag</v>
      </c>
      <c r="D4" s="641" t="str">
        <f>August!DN11</f>
        <v>Sommerferie</v>
      </c>
      <c r="E4" s="637" t="str">
        <f>Aar!D4</f>
        <v/>
      </c>
      <c r="F4" s="132">
        <f>Aar!E4</f>
        <v>2</v>
      </c>
      <c r="G4" s="132" t="str">
        <f>Aar!F4</f>
        <v>lø</v>
      </c>
      <c r="H4" s="133" t="str">
        <f>September!C10</f>
        <v>Weekend</v>
      </c>
      <c r="I4" s="641" t="str">
        <f>September!DN10</f>
        <v/>
      </c>
      <c r="J4" s="637" t="str">
        <f>Aar!H4</f>
        <v/>
      </c>
      <c r="K4" s="132">
        <f>Aar!I4</f>
        <v>2</v>
      </c>
      <c r="L4" s="132" t="str">
        <f>Aar!J4</f>
        <v>ma</v>
      </c>
      <c r="M4" s="133" t="str">
        <f>Oktober!C10</f>
        <v>Skema 1</v>
      </c>
      <c r="N4" s="641" t="str">
        <f>Oktober!DN10</f>
        <v/>
      </c>
      <c r="O4" s="636">
        <f>Aar!L4</f>
        <v>40.142857142857146</v>
      </c>
      <c r="P4" s="634">
        <f>Aar!M4</f>
        <v>2</v>
      </c>
      <c r="Q4" s="132" t="str">
        <f>Aar!N4</f>
        <v>to</v>
      </c>
      <c r="R4" s="133" t="str">
        <f>November!C10</f>
        <v>Skema 1</v>
      </c>
      <c r="S4" s="643" t="str">
        <f>November!DN10</f>
        <v/>
      </c>
      <c r="T4" s="637" t="str">
        <f>Aar!P4</f>
        <v/>
      </c>
      <c r="U4" s="634">
        <f>Aar!Q4</f>
        <v>2</v>
      </c>
      <c r="V4" s="132" t="str">
        <f>Aar!R4</f>
        <v>lø</v>
      </c>
      <c r="W4" s="133" t="str">
        <f>December!C10</f>
        <v>Weekend</v>
      </c>
      <c r="X4" s="641" t="str">
        <f>December!DN10</f>
        <v/>
      </c>
      <c r="Y4" s="637" t="str">
        <f>Aar!T4</f>
        <v/>
      </c>
      <c r="Z4" s="634">
        <f>Aar!U4</f>
        <v>2</v>
      </c>
      <c r="AA4" s="132" t="str">
        <f>Aar!V4</f>
        <v>ti</v>
      </c>
      <c r="AB4" s="133" t="str">
        <f>Januar!C10</f>
        <v>Nul-dag</v>
      </c>
      <c r="AC4" s="641" t="str">
        <f>Januar!DN10</f>
        <v/>
      </c>
      <c r="AD4" s="637" t="str">
        <f>Aar!X4</f>
        <v/>
      </c>
    </row>
    <row r="5" spans="1:30" ht="35" customHeight="1">
      <c r="A5" s="634">
        <f>Aar!A5</f>
        <v>3</v>
      </c>
      <c r="B5" s="132" t="str">
        <f>Aar!B5</f>
        <v>to</v>
      </c>
      <c r="C5" s="133" t="str">
        <f>August!C12</f>
        <v>Nul-dag</v>
      </c>
      <c r="D5" s="641" t="str">
        <f>August!DN12</f>
        <v/>
      </c>
      <c r="E5" s="637" t="str">
        <f>Aar!D5</f>
        <v/>
      </c>
      <c r="F5" s="132">
        <f>Aar!E5</f>
        <v>3</v>
      </c>
      <c r="G5" s="132" t="str">
        <f>Aar!F5</f>
        <v>sø</v>
      </c>
      <c r="H5" s="133" t="str">
        <f>September!C11</f>
        <v>Weekend</v>
      </c>
      <c r="I5" s="641" t="str">
        <f>September!DN11</f>
        <v/>
      </c>
      <c r="J5" s="637" t="str">
        <f>Aar!H5</f>
        <v/>
      </c>
      <c r="K5" s="132">
        <f>Aar!I5</f>
        <v>3</v>
      </c>
      <c r="L5" s="132" t="str">
        <f>Aar!J5</f>
        <v>ti</v>
      </c>
      <c r="M5" s="133" t="str">
        <f>Oktober!C11</f>
        <v>Skema 1</v>
      </c>
      <c r="N5" s="641" t="str">
        <f>Oktober!DN11</f>
        <v/>
      </c>
      <c r="O5" s="636" t="str">
        <f>Aar!L5</f>
        <v/>
      </c>
      <c r="P5" s="634">
        <f>Aar!M5</f>
        <v>3</v>
      </c>
      <c r="Q5" s="132" t="str">
        <f>Aar!N5</f>
        <v>fr</v>
      </c>
      <c r="R5" s="133" t="str">
        <f>November!C11</f>
        <v>Skema 1</v>
      </c>
      <c r="S5" s="643" t="str">
        <f>November!DN11</f>
        <v/>
      </c>
      <c r="T5" s="637" t="str">
        <f>Aar!P5</f>
        <v/>
      </c>
      <c r="U5" s="634">
        <f>Aar!Q5</f>
        <v>3</v>
      </c>
      <c r="V5" s="132" t="str">
        <f>Aar!R5</f>
        <v>sø</v>
      </c>
      <c r="W5" s="133" t="str">
        <f>December!C11</f>
        <v>Weekend</v>
      </c>
      <c r="X5" s="641" t="str">
        <f>December!DN11</f>
        <v/>
      </c>
      <c r="Y5" s="637" t="str">
        <f>Aar!T5</f>
        <v/>
      </c>
      <c r="Z5" s="634">
        <f>Aar!U5</f>
        <v>3</v>
      </c>
      <c r="AA5" s="132" t="str">
        <f>Aar!V5</f>
        <v>on</v>
      </c>
      <c r="AB5" s="133" t="str">
        <f>Januar!C11</f>
        <v>Nul-dag</v>
      </c>
      <c r="AC5" s="641" t="str">
        <f>Januar!DN11</f>
        <v/>
      </c>
      <c r="AD5" s="637" t="str">
        <f>Aar!X5</f>
        <v/>
      </c>
    </row>
    <row r="6" spans="1:30" ht="35" customHeight="1">
      <c r="A6" s="634">
        <f>Aar!A6</f>
        <v>4</v>
      </c>
      <c r="B6" s="132" t="str">
        <f>Aar!B6</f>
        <v>fr</v>
      </c>
      <c r="C6" s="133" t="str">
        <f>August!C13</f>
        <v>Nul-dag</v>
      </c>
      <c r="D6" s="641" t="str">
        <f>August!DN13</f>
        <v/>
      </c>
      <c r="E6" s="637" t="str">
        <f>Aar!D6</f>
        <v/>
      </c>
      <c r="F6" s="132">
        <f>Aar!E6</f>
        <v>4</v>
      </c>
      <c r="G6" s="132" t="str">
        <f>Aar!F6</f>
        <v>ma</v>
      </c>
      <c r="H6" s="133" t="str">
        <f>September!C12</f>
        <v>Skema 1</v>
      </c>
      <c r="I6" s="641" t="str">
        <f>September!DN12</f>
        <v/>
      </c>
      <c r="J6" s="637">
        <f>Aar!H6</f>
        <v>36.142857142857146</v>
      </c>
      <c r="K6" s="132">
        <f>Aar!I6</f>
        <v>4</v>
      </c>
      <c r="L6" s="132" t="str">
        <f>Aar!J6</f>
        <v>on</v>
      </c>
      <c r="M6" s="133" t="str">
        <f>Oktober!C12</f>
        <v>Skema 1</v>
      </c>
      <c r="N6" s="641" t="str">
        <f>Oktober!DN12</f>
        <v/>
      </c>
      <c r="O6" s="636" t="str">
        <f>Aar!L6</f>
        <v/>
      </c>
      <c r="P6" s="634">
        <f>Aar!M6</f>
        <v>4</v>
      </c>
      <c r="Q6" s="132" t="str">
        <f>Aar!N6</f>
        <v>lø</v>
      </c>
      <c r="R6" s="133" t="str">
        <f>November!C12</f>
        <v>Weekend</v>
      </c>
      <c r="S6" s="643" t="str">
        <f>November!DN12</f>
        <v/>
      </c>
      <c r="T6" s="637" t="str">
        <f>Aar!P6</f>
        <v/>
      </c>
      <c r="U6" s="634">
        <f>Aar!Q6</f>
        <v>4</v>
      </c>
      <c r="V6" s="132" t="str">
        <f>Aar!R6</f>
        <v>ma</v>
      </c>
      <c r="W6" s="133" t="str">
        <f>December!C12</f>
        <v>Skema 1</v>
      </c>
      <c r="X6" s="641" t="str">
        <f>December!DN12</f>
        <v/>
      </c>
      <c r="Y6" s="637">
        <f>Aar!T6</f>
        <v>49.142857142857146</v>
      </c>
      <c r="Z6" s="634">
        <f>Aar!U6</f>
        <v>4</v>
      </c>
      <c r="AA6" s="132" t="str">
        <f>Aar!V6</f>
        <v>to</v>
      </c>
      <c r="AB6" s="133" t="str">
        <f>Januar!C12</f>
        <v>Skema 1</v>
      </c>
      <c r="AC6" s="641" t="str">
        <f>Januar!DN12</f>
        <v/>
      </c>
      <c r="AD6" s="637" t="str">
        <f>Aar!X6</f>
        <v/>
      </c>
    </row>
    <row r="7" spans="1:30" ht="35" customHeight="1">
      <c r="A7" s="634">
        <f>Aar!A7</f>
        <v>5</v>
      </c>
      <c r="B7" s="132" t="str">
        <f>Aar!B7</f>
        <v>lø</v>
      </c>
      <c r="C7" s="133" t="str">
        <f>August!C14</f>
        <v>Weekend</v>
      </c>
      <c r="D7" s="641" t="str">
        <f>August!DN14</f>
        <v/>
      </c>
      <c r="E7" s="637" t="str">
        <f>Aar!D7</f>
        <v/>
      </c>
      <c r="F7" s="132">
        <f>Aar!E7</f>
        <v>5</v>
      </c>
      <c r="G7" s="132" t="str">
        <f>Aar!F7</f>
        <v>ti</v>
      </c>
      <c r="H7" s="133" t="str">
        <f>September!C13</f>
        <v>Skema 1</v>
      </c>
      <c r="I7" s="641" t="str">
        <f>September!DN13</f>
        <v/>
      </c>
      <c r="J7" s="637" t="str">
        <f>Aar!H7</f>
        <v/>
      </c>
      <c r="K7" s="132">
        <f>Aar!I7</f>
        <v>5</v>
      </c>
      <c r="L7" s="132" t="str">
        <f>Aar!J7</f>
        <v>to</v>
      </c>
      <c r="M7" s="133" t="str">
        <f>Oktober!C13</f>
        <v>Skema 1</v>
      </c>
      <c r="N7" s="641" t="str">
        <f>Oktober!DN13</f>
        <v/>
      </c>
      <c r="O7" s="636" t="str">
        <f>Aar!L7</f>
        <v/>
      </c>
      <c r="P7" s="634">
        <f>Aar!M7</f>
        <v>5</v>
      </c>
      <c r="Q7" s="132" t="str">
        <f>Aar!N7</f>
        <v>sø</v>
      </c>
      <c r="R7" s="133" t="str">
        <f>November!C13</f>
        <v>Weekend</v>
      </c>
      <c r="S7" s="643" t="str">
        <f>November!DN13</f>
        <v/>
      </c>
      <c r="T7" s="637" t="str">
        <f>Aar!P7</f>
        <v/>
      </c>
      <c r="U7" s="634">
        <f>Aar!Q7</f>
        <v>5</v>
      </c>
      <c r="V7" s="132" t="str">
        <f>Aar!R7</f>
        <v>ti</v>
      </c>
      <c r="W7" s="133" t="str">
        <f>December!C13</f>
        <v>Skema 1</v>
      </c>
      <c r="X7" s="641" t="str">
        <f>December!DN13</f>
        <v/>
      </c>
      <c r="Y7" s="637" t="str">
        <f>Aar!T7</f>
        <v/>
      </c>
      <c r="Z7" s="634">
        <f>Aar!U7</f>
        <v>5</v>
      </c>
      <c r="AA7" s="132" t="str">
        <f>Aar!V7</f>
        <v>fr</v>
      </c>
      <c r="AB7" s="133" t="str">
        <f>Januar!C13</f>
        <v>Skema 1</v>
      </c>
      <c r="AC7" s="641" t="str">
        <f>Januar!DN13</f>
        <v/>
      </c>
      <c r="AD7" s="637" t="str">
        <f>Aar!X7</f>
        <v/>
      </c>
    </row>
    <row r="8" spans="1:30" ht="35" customHeight="1">
      <c r="A8" s="634">
        <f>Aar!A8</f>
        <v>6</v>
      </c>
      <c r="B8" s="132" t="str">
        <f>Aar!B8</f>
        <v>sø</v>
      </c>
      <c r="C8" s="133" t="str">
        <f>August!C15</f>
        <v>Weekend</v>
      </c>
      <c r="D8" s="641" t="str">
        <f>August!DN15</f>
        <v/>
      </c>
      <c r="E8" s="637" t="str">
        <f>Aar!D8</f>
        <v/>
      </c>
      <c r="F8" s="132">
        <f>Aar!E8</f>
        <v>6</v>
      </c>
      <c r="G8" s="132" t="str">
        <f>Aar!F8</f>
        <v>on</v>
      </c>
      <c r="H8" s="133" t="str">
        <f>September!C14</f>
        <v>Skema 1</v>
      </c>
      <c r="I8" s="641" t="str">
        <f>September!DN14</f>
        <v/>
      </c>
      <c r="J8" s="637" t="str">
        <f>Aar!H8</f>
        <v/>
      </c>
      <c r="K8" s="132">
        <f>Aar!I8</f>
        <v>6</v>
      </c>
      <c r="L8" s="132" t="str">
        <f>Aar!J8</f>
        <v>fr</v>
      </c>
      <c r="M8" s="133" t="str">
        <f>Oktober!C14</f>
        <v>Skema 1</v>
      </c>
      <c r="N8" s="641" t="str">
        <f>Oktober!DN14</f>
        <v/>
      </c>
      <c r="O8" s="636" t="str">
        <f>Aar!L8</f>
        <v/>
      </c>
      <c r="P8" s="634">
        <f>Aar!M8</f>
        <v>6</v>
      </c>
      <c r="Q8" s="132" t="str">
        <f>Aar!N8</f>
        <v>ma</v>
      </c>
      <c r="R8" s="133" t="str">
        <f>November!C14</f>
        <v>Skema 1</v>
      </c>
      <c r="S8" s="643" t="str">
        <f>November!DN14</f>
        <v/>
      </c>
      <c r="T8" s="637">
        <f>Aar!P8</f>
        <v>45.142857142857146</v>
      </c>
      <c r="U8" s="634">
        <f>Aar!Q8</f>
        <v>6</v>
      </c>
      <c r="V8" s="132" t="str">
        <f>Aar!R8</f>
        <v>on</v>
      </c>
      <c r="W8" s="133" t="str">
        <f>December!C14</f>
        <v>Skema 1</v>
      </c>
      <c r="X8" s="641" t="str">
        <f>December!DN14</f>
        <v/>
      </c>
      <c r="Y8" s="637" t="str">
        <f>Aar!T8</f>
        <v/>
      </c>
      <c r="Z8" s="634">
        <f>Aar!U8</f>
        <v>6</v>
      </c>
      <c r="AA8" s="132" t="str">
        <f>Aar!V8</f>
        <v>lø</v>
      </c>
      <c r="AB8" s="133" t="str">
        <f>Januar!C14</f>
        <v>Weekend</v>
      </c>
      <c r="AC8" s="641" t="str">
        <f>Januar!DN14</f>
        <v/>
      </c>
      <c r="AD8" s="637" t="str">
        <f>Aar!X8</f>
        <v/>
      </c>
    </row>
    <row r="9" spans="1:30" ht="35" customHeight="1">
      <c r="A9" s="634">
        <f>Aar!A9</f>
        <v>7</v>
      </c>
      <c r="B9" s="132" t="str">
        <f>Aar!B9</f>
        <v>ma</v>
      </c>
      <c r="C9" s="133" t="str">
        <f>August!C16</f>
        <v>Nul-dag</v>
      </c>
      <c r="D9" s="641" t="str">
        <f>August!DN16</f>
        <v/>
      </c>
      <c r="E9" s="637">
        <f>Aar!D9</f>
        <v>32.142857142857146</v>
      </c>
      <c r="F9" s="132">
        <f>Aar!E9</f>
        <v>7</v>
      </c>
      <c r="G9" s="132" t="str">
        <f>Aar!F9</f>
        <v>to</v>
      </c>
      <c r="H9" s="133" t="str">
        <f>September!C15</f>
        <v>Skema 1</v>
      </c>
      <c r="I9" s="641" t="str">
        <f>September!DN15</f>
        <v/>
      </c>
      <c r="J9" s="637" t="str">
        <f>Aar!H9</f>
        <v/>
      </c>
      <c r="K9" s="132">
        <f>Aar!I9</f>
        <v>7</v>
      </c>
      <c r="L9" s="132" t="str">
        <f>Aar!J9</f>
        <v>lø</v>
      </c>
      <c r="M9" s="133" t="str">
        <f>Oktober!C15</f>
        <v>Weekend</v>
      </c>
      <c r="N9" s="641" t="str">
        <f>Oktober!DN15</f>
        <v/>
      </c>
      <c r="O9" s="636" t="str">
        <f>Aar!L9</f>
        <v/>
      </c>
      <c r="P9" s="634">
        <f>Aar!M9</f>
        <v>7</v>
      </c>
      <c r="Q9" s="132" t="str">
        <f>Aar!N9</f>
        <v>ti</v>
      </c>
      <c r="R9" s="133" t="str">
        <f>November!C15</f>
        <v>Skema 1</v>
      </c>
      <c r="S9" s="643" t="str">
        <f>November!DN15</f>
        <v/>
      </c>
      <c r="T9" s="637" t="str">
        <f>Aar!P9</f>
        <v/>
      </c>
      <c r="U9" s="634">
        <f>Aar!Q9</f>
        <v>7</v>
      </c>
      <c r="V9" s="132" t="str">
        <f>Aar!R9</f>
        <v>to</v>
      </c>
      <c r="W9" s="133" t="str">
        <f>December!C15</f>
        <v>Skema 1</v>
      </c>
      <c r="X9" s="641" t="str">
        <f>December!DN15</f>
        <v/>
      </c>
      <c r="Y9" s="637" t="str">
        <f>Aar!T9</f>
        <v/>
      </c>
      <c r="Z9" s="634">
        <f>Aar!U9</f>
        <v>7</v>
      </c>
      <c r="AA9" s="132" t="str">
        <f>Aar!V9</f>
        <v>sø</v>
      </c>
      <c r="AB9" s="133" t="str">
        <f>Januar!C15</f>
        <v>Weekend</v>
      </c>
      <c r="AC9" s="641" t="str">
        <f>Januar!DN15</f>
        <v/>
      </c>
      <c r="AD9" s="637" t="str">
        <f>Aar!X9</f>
        <v/>
      </c>
    </row>
    <row r="10" spans="1:30" ht="35" customHeight="1">
      <c r="A10" s="634">
        <f>Aar!A10</f>
        <v>8</v>
      </c>
      <c r="B10" s="132" t="str">
        <f>Aar!B10</f>
        <v>ti</v>
      </c>
      <c r="C10" s="133" t="str">
        <f>August!C17</f>
        <v>Nul-dag</v>
      </c>
      <c r="D10" s="641" t="str">
        <f>August!DN17</f>
        <v/>
      </c>
      <c r="E10" s="637" t="str">
        <f>Aar!D10</f>
        <v/>
      </c>
      <c r="F10" s="132">
        <f>Aar!E10</f>
        <v>8</v>
      </c>
      <c r="G10" s="132" t="str">
        <f>Aar!F10</f>
        <v>fr</v>
      </c>
      <c r="H10" s="133" t="str">
        <f>September!C16</f>
        <v>Skema 1</v>
      </c>
      <c r="I10" s="641" t="str">
        <f>September!DN16</f>
        <v/>
      </c>
      <c r="J10" s="637" t="str">
        <f>Aar!H10</f>
        <v/>
      </c>
      <c r="K10" s="132">
        <f>Aar!I10</f>
        <v>8</v>
      </c>
      <c r="L10" s="132" t="str">
        <f>Aar!J10</f>
        <v>sø</v>
      </c>
      <c r="M10" s="133" t="str">
        <f>Oktober!C16</f>
        <v>Weekend</v>
      </c>
      <c r="N10" s="641" t="str">
        <f>Oktober!DN16</f>
        <v/>
      </c>
      <c r="O10" s="636" t="str">
        <f>Aar!L10</f>
        <v/>
      </c>
      <c r="P10" s="634">
        <f>Aar!M10</f>
        <v>8</v>
      </c>
      <c r="Q10" s="132" t="str">
        <f>Aar!N10</f>
        <v>on</v>
      </c>
      <c r="R10" s="133" t="str">
        <f>November!C16</f>
        <v>Skema 1</v>
      </c>
      <c r="S10" s="643" t="str">
        <f>November!DN16</f>
        <v/>
      </c>
      <c r="T10" s="637" t="str">
        <f>Aar!P10</f>
        <v/>
      </c>
      <c r="U10" s="634">
        <f>Aar!Q10</f>
        <v>8</v>
      </c>
      <c r="V10" s="132" t="str">
        <f>Aar!R10</f>
        <v>fr</v>
      </c>
      <c r="W10" s="133" t="str">
        <f>December!C16</f>
        <v>Skema 1</v>
      </c>
      <c r="X10" s="641" t="str">
        <f>December!DN16</f>
        <v/>
      </c>
      <c r="Y10" s="637" t="str">
        <f>Aar!T10</f>
        <v/>
      </c>
      <c r="Z10" s="634">
        <f>Aar!U10</f>
        <v>8</v>
      </c>
      <c r="AA10" s="132" t="str">
        <f>Aar!V10</f>
        <v>ma</v>
      </c>
      <c r="AB10" s="133" t="str">
        <f>Januar!C16</f>
        <v>Skema 1</v>
      </c>
      <c r="AC10" s="641" t="str">
        <f>Januar!DN16</f>
        <v/>
      </c>
      <c r="AD10" s="637">
        <f>Aar!X10</f>
        <v>2</v>
      </c>
    </row>
    <row r="11" spans="1:30" ht="35" customHeight="1">
      <c r="A11" s="634">
        <f>Aar!A11</f>
        <v>9</v>
      </c>
      <c r="B11" s="132" t="str">
        <f>Aar!B11</f>
        <v>on</v>
      </c>
      <c r="C11" s="133" t="str">
        <f>August!C18</f>
        <v>Nul-dag</v>
      </c>
      <c r="D11" s="641" t="str">
        <f>August!DN18</f>
        <v/>
      </c>
      <c r="E11" s="637" t="str">
        <f>Aar!D11</f>
        <v/>
      </c>
      <c r="F11" s="132">
        <f>Aar!E11</f>
        <v>9</v>
      </c>
      <c r="G11" s="132" t="str">
        <f>Aar!F11</f>
        <v>lø</v>
      </c>
      <c r="H11" s="133" t="str">
        <f>September!C17</f>
        <v>Weekend</v>
      </c>
      <c r="I11" s="641" t="str">
        <f>September!DN17</f>
        <v/>
      </c>
      <c r="J11" s="637" t="str">
        <f>Aar!H11</f>
        <v/>
      </c>
      <c r="K11" s="132">
        <f>Aar!I11</f>
        <v>9</v>
      </c>
      <c r="L11" s="132" t="str">
        <f>Aar!J11</f>
        <v>ma</v>
      </c>
      <c r="M11" s="133" t="str">
        <f>Oktober!C17</f>
        <v>Skema 1</v>
      </c>
      <c r="N11" s="641" t="str">
        <f>Oktober!DN17</f>
        <v/>
      </c>
      <c r="O11" s="636">
        <f>Aar!L11</f>
        <v>41.142857142857146</v>
      </c>
      <c r="P11" s="634">
        <f>Aar!M11</f>
        <v>9</v>
      </c>
      <c r="Q11" s="132" t="str">
        <f>Aar!N11</f>
        <v>to</v>
      </c>
      <c r="R11" s="133" t="str">
        <f>November!C17</f>
        <v>Skema 1</v>
      </c>
      <c r="S11" s="643" t="str">
        <f>November!DN17</f>
        <v/>
      </c>
      <c r="T11" s="637" t="str">
        <f>Aar!P11</f>
        <v/>
      </c>
      <c r="U11" s="634">
        <f>Aar!Q11</f>
        <v>9</v>
      </c>
      <c r="V11" s="132" t="str">
        <f>Aar!R11</f>
        <v>lø</v>
      </c>
      <c r="W11" s="133" t="str">
        <f>December!C17</f>
        <v>Weekend</v>
      </c>
      <c r="X11" s="641" t="str">
        <f>December!DN17</f>
        <v/>
      </c>
      <c r="Y11" s="637" t="str">
        <f>Aar!T11</f>
        <v/>
      </c>
      <c r="Z11" s="634">
        <f>Aar!U11</f>
        <v>9</v>
      </c>
      <c r="AA11" s="132" t="str">
        <f>Aar!V11</f>
        <v>ti</v>
      </c>
      <c r="AB11" s="133" t="str">
        <f>Januar!C17</f>
        <v>Skema 1</v>
      </c>
      <c r="AC11" s="641" t="str">
        <f>Januar!DN17</f>
        <v/>
      </c>
      <c r="AD11" s="637" t="str">
        <f>Aar!X11</f>
        <v/>
      </c>
    </row>
    <row r="12" spans="1:30" ht="35" customHeight="1">
      <c r="A12" s="634">
        <f>Aar!A12</f>
        <v>10</v>
      </c>
      <c r="B12" s="132" t="str">
        <f>Aar!B12</f>
        <v>to</v>
      </c>
      <c r="C12" s="133" t="str">
        <f>August!C19</f>
        <v>Nul-dag</v>
      </c>
      <c r="D12" s="641" t="str">
        <f>August!DN19</f>
        <v/>
      </c>
      <c r="E12" s="637" t="str">
        <f>Aar!D12</f>
        <v/>
      </c>
      <c r="F12" s="132">
        <f>Aar!E12</f>
        <v>10</v>
      </c>
      <c r="G12" s="132" t="str">
        <f>Aar!F12</f>
        <v>sø</v>
      </c>
      <c r="H12" s="133" t="str">
        <f>September!C18</f>
        <v>Weekend</v>
      </c>
      <c r="I12" s="641" t="str">
        <f>September!DN18</f>
        <v/>
      </c>
      <c r="J12" s="637" t="str">
        <f>Aar!H12</f>
        <v/>
      </c>
      <c r="K12" s="132">
        <f>Aar!I12</f>
        <v>10</v>
      </c>
      <c r="L12" s="132" t="str">
        <f>Aar!J12</f>
        <v>ti</v>
      </c>
      <c r="M12" s="133" t="str">
        <f>Oktober!C18</f>
        <v>Skema 1</v>
      </c>
      <c r="N12" s="641" t="str">
        <f>Oktober!DN18</f>
        <v/>
      </c>
      <c r="O12" s="636" t="str">
        <f>Aar!L12</f>
        <v/>
      </c>
      <c r="P12" s="634">
        <f>Aar!M12</f>
        <v>10</v>
      </c>
      <c r="Q12" s="132" t="str">
        <f>Aar!N12</f>
        <v>fr</v>
      </c>
      <c r="R12" s="133" t="str">
        <f>November!C18</f>
        <v>Skema 1</v>
      </c>
      <c r="S12" s="643" t="str">
        <f>November!DN18</f>
        <v/>
      </c>
      <c r="T12" s="637" t="str">
        <f>Aar!P12</f>
        <v/>
      </c>
      <c r="U12" s="634">
        <f>Aar!Q12</f>
        <v>10</v>
      </c>
      <c r="V12" s="132" t="str">
        <f>Aar!R12</f>
        <v>sø</v>
      </c>
      <c r="W12" s="133" t="str">
        <f>December!C18</f>
        <v>Weekend</v>
      </c>
      <c r="X12" s="641" t="str">
        <f>December!DN18</f>
        <v/>
      </c>
      <c r="Y12" s="637" t="str">
        <f>Aar!T12</f>
        <v/>
      </c>
      <c r="Z12" s="634">
        <f>Aar!U12</f>
        <v>10</v>
      </c>
      <c r="AA12" s="132" t="str">
        <f>Aar!V12</f>
        <v>on</v>
      </c>
      <c r="AB12" s="133" t="str">
        <f>Januar!C18</f>
        <v>Skema 1</v>
      </c>
      <c r="AC12" s="641" t="str">
        <f>Januar!DN18</f>
        <v/>
      </c>
      <c r="AD12" s="637" t="str">
        <f>Aar!X12</f>
        <v/>
      </c>
    </row>
    <row r="13" spans="1:30" ht="35" customHeight="1">
      <c r="A13" s="634">
        <f>Aar!A13</f>
        <v>11</v>
      </c>
      <c r="B13" s="132" t="str">
        <f>Aar!B13</f>
        <v>fr</v>
      </c>
      <c r="C13" s="133" t="str">
        <f>August!C20</f>
        <v>Nul-dag</v>
      </c>
      <c r="D13" s="641" t="str">
        <f>August!DN20</f>
        <v/>
      </c>
      <c r="E13" s="637" t="str">
        <f>Aar!D13</f>
        <v/>
      </c>
      <c r="F13" s="132">
        <f>Aar!E13</f>
        <v>11</v>
      </c>
      <c r="G13" s="132" t="str">
        <f>Aar!F13</f>
        <v>ma</v>
      </c>
      <c r="H13" s="133" t="str">
        <f>September!C19</f>
        <v>Skema 1</v>
      </c>
      <c r="I13" s="641" t="str">
        <f>September!DN19</f>
        <v/>
      </c>
      <c r="J13" s="637">
        <f>Aar!H13</f>
        <v>37.142857142857146</v>
      </c>
      <c r="K13" s="132">
        <f>Aar!I13</f>
        <v>11</v>
      </c>
      <c r="L13" s="132" t="str">
        <f>Aar!J13</f>
        <v>on</v>
      </c>
      <c r="M13" s="133" t="str">
        <f>Oktober!C19</f>
        <v>Skema 1</v>
      </c>
      <c r="N13" s="641" t="str">
        <f>Oktober!DN19</f>
        <v/>
      </c>
      <c r="O13" s="636" t="str">
        <f>Aar!L13</f>
        <v/>
      </c>
      <c r="P13" s="634">
        <f>Aar!M13</f>
        <v>11</v>
      </c>
      <c r="Q13" s="132" t="str">
        <f>Aar!N13</f>
        <v>lø</v>
      </c>
      <c r="R13" s="133" t="str">
        <f>November!C19</f>
        <v>Weekend</v>
      </c>
      <c r="S13" s="643" t="str">
        <f>November!DN19</f>
        <v/>
      </c>
      <c r="T13" s="637" t="str">
        <f>Aar!P13</f>
        <v/>
      </c>
      <c r="U13" s="634">
        <f>Aar!Q13</f>
        <v>11</v>
      </c>
      <c r="V13" s="132" t="str">
        <f>Aar!R13</f>
        <v>ma</v>
      </c>
      <c r="W13" s="133" t="str">
        <f>December!C19</f>
        <v>Skema 1</v>
      </c>
      <c r="X13" s="641" t="str">
        <f>December!DN19</f>
        <v/>
      </c>
      <c r="Y13" s="637">
        <f>Aar!T13</f>
        <v>50.142857142857146</v>
      </c>
      <c r="Z13" s="634">
        <f>Aar!U13</f>
        <v>11</v>
      </c>
      <c r="AA13" s="132" t="str">
        <f>Aar!V13</f>
        <v>to</v>
      </c>
      <c r="AB13" s="133" t="str">
        <f>Januar!C19</f>
        <v>Skema 1</v>
      </c>
      <c r="AC13" s="641" t="str">
        <f>Januar!DN19</f>
        <v/>
      </c>
      <c r="AD13" s="637" t="str">
        <f>Aar!X13</f>
        <v/>
      </c>
    </row>
    <row r="14" spans="1:30" ht="35" customHeight="1">
      <c r="A14" s="634">
        <f>Aar!A14</f>
        <v>12</v>
      </c>
      <c r="B14" s="132" t="str">
        <f>Aar!B14</f>
        <v>lø</v>
      </c>
      <c r="C14" s="133" t="str">
        <f>August!C21</f>
        <v>Weekend</v>
      </c>
      <c r="D14" s="641" t="str">
        <f>August!DN21</f>
        <v/>
      </c>
      <c r="E14" s="637" t="str">
        <f>Aar!D14</f>
        <v/>
      </c>
      <c r="F14" s="132">
        <f>Aar!E14</f>
        <v>12</v>
      </c>
      <c r="G14" s="132" t="str">
        <f>Aar!F14</f>
        <v>ti</v>
      </c>
      <c r="H14" s="133" t="str">
        <f>September!C20</f>
        <v>Skema 1</v>
      </c>
      <c r="I14" s="641" t="str">
        <f>September!DN20</f>
        <v/>
      </c>
      <c r="J14" s="637" t="str">
        <f>Aar!H14</f>
        <v/>
      </c>
      <c r="K14" s="132">
        <f>Aar!I14</f>
        <v>12</v>
      </c>
      <c r="L14" s="132" t="str">
        <f>Aar!J14</f>
        <v>to</v>
      </c>
      <c r="M14" s="133" t="str">
        <f>Oktober!C20</f>
        <v>Skema 1</v>
      </c>
      <c r="N14" s="641" t="str">
        <f>Oktober!DN20</f>
        <v/>
      </c>
      <c r="O14" s="636" t="str">
        <f>Aar!L14</f>
        <v/>
      </c>
      <c r="P14" s="634">
        <f>Aar!M14</f>
        <v>12</v>
      </c>
      <c r="Q14" s="132" t="str">
        <f>Aar!N14</f>
        <v>sø</v>
      </c>
      <c r="R14" s="133" t="str">
        <f>November!C20</f>
        <v>Weekend</v>
      </c>
      <c r="S14" s="643" t="str">
        <f>November!DN20</f>
        <v/>
      </c>
      <c r="T14" s="637" t="str">
        <f>Aar!P14</f>
        <v/>
      </c>
      <c r="U14" s="634">
        <f>Aar!Q14</f>
        <v>12</v>
      </c>
      <c r="V14" s="132" t="str">
        <f>Aar!R14</f>
        <v>ti</v>
      </c>
      <c r="W14" s="133" t="str">
        <f>December!C20</f>
        <v>Skema 1</v>
      </c>
      <c r="X14" s="641" t="str">
        <f>December!DN20</f>
        <v/>
      </c>
      <c r="Y14" s="637" t="str">
        <f>Aar!T14</f>
        <v/>
      </c>
      <c r="Z14" s="634">
        <f>Aar!U14</f>
        <v>12</v>
      </c>
      <c r="AA14" s="132" t="str">
        <f>Aar!V14</f>
        <v>fr</v>
      </c>
      <c r="AB14" s="133" t="str">
        <f>Januar!C20</f>
        <v>Skema 1</v>
      </c>
      <c r="AC14" s="641" t="str">
        <f>Januar!DN20</f>
        <v/>
      </c>
      <c r="AD14" s="637" t="str">
        <f>Aar!X14</f>
        <v/>
      </c>
    </row>
    <row r="15" spans="1:30" ht="35" customHeight="1">
      <c r="A15" s="634">
        <f>Aar!A15</f>
        <v>13</v>
      </c>
      <c r="B15" s="132" t="str">
        <f>Aar!B15</f>
        <v>sø</v>
      </c>
      <c r="C15" s="133" t="str">
        <f>August!C22</f>
        <v>Weekend</v>
      </c>
      <c r="D15" s="641" t="str">
        <f>August!DN22</f>
        <v/>
      </c>
      <c r="E15" s="637" t="str">
        <f>Aar!D15</f>
        <v/>
      </c>
      <c r="F15" s="132">
        <f>Aar!E15</f>
        <v>13</v>
      </c>
      <c r="G15" s="132" t="str">
        <f>Aar!F15</f>
        <v>on</v>
      </c>
      <c r="H15" s="133" t="str">
        <f>September!C21</f>
        <v>Skema 1</v>
      </c>
      <c r="I15" s="641" t="str">
        <f>September!DN21</f>
        <v/>
      </c>
      <c r="J15" s="637" t="str">
        <f>Aar!H15</f>
        <v/>
      </c>
      <c r="K15" s="132">
        <f>Aar!I15</f>
        <v>13</v>
      </c>
      <c r="L15" s="132" t="str">
        <f>Aar!J15</f>
        <v>fr</v>
      </c>
      <c r="M15" s="133" t="str">
        <f>Oktober!C21</f>
        <v>Skema 1</v>
      </c>
      <c r="N15" s="641" t="str">
        <f>Oktober!DN21</f>
        <v/>
      </c>
      <c r="O15" s="636" t="str">
        <f>Aar!L15</f>
        <v/>
      </c>
      <c r="P15" s="634">
        <f>Aar!M15</f>
        <v>13</v>
      </c>
      <c r="Q15" s="132" t="str">
        <f>Aar!N15</f>
        <v>ma</v>
      </c>
      <c r="R15" s="133" t="str">
        <f>November!C21</f>
        <v>Skema 1</v>
      </c>
      <c r="S15" s="643" t="str">
        <f>November!DN21</f>
        <v/>
      </c>
      <c r="T15" s="637">
        <f>Aar!P15</f>
        <v>46.142857142857146</v>
      </c>
      <c r="U15" s="634">
        <f>Aar!Q15</f>
        <v>13</v>
      </c>
      <c r="V15" s="132" t="str">
        <f>Aar!R15</f>
        <v>on</v>
      </c>
      <c r="W15" s="133" t="str">
        <f>December!C21</f>
        <v>Skema 1</v>
      </c>
      <c r="X15" s="641" t="str">
        <f>December!DN21</f>
        <v/>
      </c>
      <c r="Y15" s="637" t="str">
        <f>Aar!T15</f>
        <v/>
      </c>
      <c r="Z15" s="634">
        <f>Aar!U15</f>
        <v>13</v>
      </c>
      <c r="AA15" s="132" t="str">
        <f>Aar!V15</f>
        <v>lø</v>
      </c>
      <c r="AB15" s="133" t="str">
        <f>Januar!C21</f>
        <v>Weekend</v>
      </c>
      <c r="AC15" s="641" t="str">
        <f>Januar!DN21</f>
        <v/>
      </c>
      <c r="AD15" s="637" t="str">
        <f>Aar!X15</f>
        <v/>
      </c>
    </row>
    <row r="16" spans="1:30" ht="35" customHeight="1">
      <c r="A16" s="634">
        <f>Aar!A16</f>
        <v>14</v>
      </c>
      <c r="B16" s="132" t="str">
        <f>Aar!B16</f>
        <v>ma</v>
      </c>
      <c r="C16" s="133" t="str">
        <f>August!C23</f>
        <v>Skema 1</v>
      </c>
      <c r="D16" s="641" t="str">
        <f>August!DN23</f>
        <v/>
      </c>
      <c r="E16" s="637">
        <f>Aar!D16</f>
        <v>33.142857142857146</v>
      </c>
      <c r="F16" s="132">
        <f>Aar!E16</f>
        <v>14</v>
      </c>
      <c r="G16" s="132" t="str">
        <f>Aar!F16</f>
        <v>to</v>
      </c>
      <c r="H16" s="133" t="str">
        <f>September!C22</f>
        <v>Skema 1</v>
      </c>
      <c r="I16" s="641" t="str">
        <f>September!DN22</f>
        <v/>
      </c>
      <c r="J16" s="637" t="str">
        <f>Aar!H16</f>
        <v/>
      </c>
      <c r="K16" s="132">
        <f>Aar!I16</f>
        <v>14</v>
      </c>
      <c r="L16" s="132" t="str">
        <f>Aar!J16</f>
        <v>lø</v>
      </c>
      <c r="M16" s="133" t="str">
        <f>Oktober!C22</f>
        <v>Weekend</v>
      </c>
      <c r="N16" s="641" t="str">
        <f>Oktober!DN22</f>
        <v/>
      </c>
      <c r="O16" s="636" t="str">
        <f>Aar!L16</f>
        <v/>
      </c>
      <c r="P16" s="634">
        <f>Aar!M16</f>
        <v>14</v>
      </c>
      <c r="Q16" s="132" t="str">
        <f>Aar!N16</f>
        <v>ti</v>
      </c>
      <c r="R16" s="133" t="str">
        <f>November!C22</f>
        <v>Skema 1</v>
      </c>
      <c r="S16" s="643" t="str">
        <f>November!DN22</f>
        <v/>
      </c>
      <c r="T16" s="637" t="str">
        <f>Aar!P16</f>
        <v/>
      </c>
      <c r="U16" s="634">
        <f>Aar!Q16</f>
        <v>14</v>
      </c>
      <c r="V16" s="132" t="str">
        <f>Aar!R16</f>
        <v>to</v>
      </c>
      <c r="W16" s="133" t="str">
        <f>December!C22</f>
        <v>Skema 1</v>
      </c>
      <c r="X16" s="641" t="str">
        <f>December!DN22</f>
        <v/>
      </c>
      <c r="Y16" s="637" t="str">
        <f>Aar!T16</f>
        <v/>
      </c>
      <c r="Z16" s="634">
        <f>Aar!U16</f>
        <v>14</v>
      </c>
      <c r="AA16" s="132" t="str">
        <f>Aar!V16</f>
        <v>sø</v>
      </c>
      <c r="AB16" s="133" t="str">
        <f>Januar!C22</f>
        <v>Weekend</v>
      </c>
      <c r="AC16" s="641" t="str">
        <f>Januar!DN22</f>
        <v/>
      </c>
      <c r="AD16" s="637" t="str">
        <f>Aar!X16</f>
        <v/>
      </c>
    </row>
    <row r="17" spans="1:30" ht="35" customHeight="1">
      <c r="A17" s="634">
        <f>Aar!A17</f>
        <v>15</v>
      </c>
      <c r="B17" s="132" t="str">
        <f>Aar!B17</f>
        <v>ti</v>
      </c>
      <c r="C17" s="133" t="str">
        <f>August!C24</f>
        <v>Skema 1</v>
      </c>
      <c r="D17" s="641" t="str">
        <f>August!DN24</f>
        <v/>
      </c>
      <c r="E17" s="637" t="str">
        <f>Aar!D17</f>
        <v/>
      </c>
      <c r="F17" s="132">
        <f>Aar!E17</f>
        <v>15</v>
      </c>
      <c r="G17" s="132" t="str">
        <f>Aar!F17</f>
        <v>fr</v>
      </c>
      <c r="H17" s="133" t="str">
        <f>September!C23</f>
        <v>Skema 1</v>
      </c>
      <c r="I17" s="641" t="str">
        <f>September!DN23</f>
        <v/>
      </c>
      <c r="J17" s="637" t="str">
        <f>Aar!H17</f>
        <v/>
      </c>
      <c r="K17" s="132">
        <f>Aar!I17</f>
        <v>15</v>
      </c>
      <c r="L17" s="132" t="str">
        <f>Aar!J17</f>
        <v>sø</v>
      </c>
      <c r="M17" s="133" t="str">
        <f>Oktober!C23</f>
        <v>Weekend</v>
      </c>
      <c r="N17" s="641" t="str">
        <f>Oktober!DN23</f>
        <v/>
      </c>
      <c r="O17" s="636" t="str">
        <f>Aar!L17</f>
        <v/>
      </c>
      <c r="P17" s="634">
        <f>Aar!M17</f>
        <v>15</v>
      </c>
      <c r="Q17" s="132" t="str">
        <f>Aar!N17</f>
        <v>on</v>
      </c>
      <c r="R17" s="133" t="str">
        <f>November!C23</f>
        <v>Skema 1</v>
      </c>
      <c r="S17" s="643" t="str">
        <f>November!DN23</f>
        <v/>
      </c>
      <c r="T17" s="637" t="str">
        <f>Aar!P17</f>
        <v/>
      </c>
      <c r="U17" s="634">
        <f>Aar!Q17</f>
        <v>15</v>
      </c>
      <c r="V17" s="132" t="str">
        <f>Aar!R17</f>
        <v>fr</v>
      </c>
      <c r="W17" s="133" t="str">
        <f>December!C23</f>
        <v>Skema 1</v>
      </c>
      <c r="X17" s="641" t="str">
        <f>December!DN23</f>
        <v/>
      </c>
      <c r="Y17" s="637" t="str">
        <f>Aar!T17</f>
        <v/>
      </c>
      <c r="Z17" s="634">
        <f>Aar!U17</f>
        <v>15</v>
      </c>
      <c r="AA17" s="132" t="str">
        <f>Aar!V17</f>
        <v>ma</v>
      </c>
      <c r="AB17" s="133" t="str">
        <f>Januar!C23</f>
        <v>Skema 1</v>
      </c>
      <c r="AC17" s="641" t="str">
        <f>Januar!DN23</f>
        <v/>
      </c>
      <c r="AD17" s="637">
        <f>Aar!X17</f>
        <v>3</v>
      </c>
    </row>
    <row r="18" spans="1:30" ht="35" customHeight="1">
      <c r="A18" s="634">
        <f>Aar!A18</f>
        <v>16</v>
      </c>
      <c r="B18" s="132" t="str">
        <f>Aar!B18</f>
        <v>on</v>
      </c>
      <c r="C18" s="133" t="str">
        <f>August!C25</f>
        <v>Skema 1</v>
      </c>
      <c r="D18" s="641" t="str">
        <f>August!DN25</f>
        <v/>
      </c>
      <c r="E18" s="637" t="str">
        <f>Aar!D18</f>
        <v/>
      </c>
      <c r="F18" s="132">
        <f>Aar!E18</f>
        <v>16</v>
      </c>
      <c r="G18" s="132" t="str">
        <f>Aar!F18</f>
        <v>lø</v>
      </c>
      <c r="H18" s="133" t="str">
        <f>September!C24</f>
        <v>Weekend</v>
      </c>
      <c r="I18" s="641" t="str">
        <f>September!DN24</f>
        <v/>
      </c>
      <c r="J18" s="637" t="str">
        <f>Aar!H18</f>
        <v/>
      </c>
      <c r="K18" s="132">
        <f>Aar!I18</f>
        <v>16</v>
      </c>
      <c r="L18" s="132" t="str">
        <f>Aar!J18</f>
        <v>ma</v>
      </c>
      <c r="M18" s="133" t="str">
        <f>Oktober!C24</f>
        <v>Feriedag</v>
      </c>
      <c r="N18" s="641" t="str">
        <f>Oktober!DN24</f>
        <v>Efterårsferie</v>
      </c>
      <c r="O18" s="636">
        <f>Aar!L18</f>
        <v>42.142857142857146</v>
      </c>
      <c r="P18" s="634">
        <f>Aar!M18</f>
        <v>16</v>
      </c>
      <c r="Q18" s="132" t="str">
        <f>Aar!N18</f>
        <v>to</v>
      </c>
      <c r="R18" s="133" t="str">
        <f>November!C24</f>
        <v>Skema 1</v>
      </c>
      <c r="S18" s="643" t="str">
        <f>November!DN24</f>
        <v/>
      </c>
      <c r="T18" s="637" t="str">
        <f>Aar!P18</f>
        <v/>
      </c>
      <c r="U18" s="634">
        <f>Aar!Q18</f>
        <v>16</v>
      </c>
      <c r="V18" s="132" t="str">
        <f>Aar!R18</f>
        <v>lø</v>
      </c>
      <c r="W18" s="133" t="str">
        <f>December!C24</f>
        <v>Weekend</v>
      </c>
      <c r="X18" s="641" t="str">
        <f>December!DN24</f>
        <v/>
      </c>
      <c r="Y18" s="637" t="str">
        <f>Aar!T18</f>
        <v/>
      </c>
      <c r="Z18" s="634">
        <f>Aar!U18</f>
        <v>16</v>
      </c>
      <c r="AA18" s="132" t="str">
        <f>Aar!V18</f>
        <v>ti</v>
      </c>
      <c r="AB18" s="133" t="str">
        <f>Januar!C24</f>
        <v>Skema 1</v>
      </c>
      <c r="AC18" s="641" t="str">
        <f>Januar!DN24</f>
        <v/>
      </c>
      <c r="AD18" s="637" t="str">
        <f>Aar!X18</f>
        <v/>
      </c>
    </row>
    <row r="19" spans="1:30" ht="35" customHeight="1">
      <c r="A19" s="634">
        <f>Aar!A19</f>
        <v>17</v>
      </c>
      <c r="B19" s="132" t="str">
        <f>Aar!B19</f>
        <v>to</v>
      </c>
      <c r="C19" s="133" t="str">
        <f>August!C26</f>
        <v>Skema 1</v>
      </c>
      <c r="D19" s="641" t="str">
        <f>August!DN26</f>
        <v/>
      </c>
      <c r="E19" s="637" t="str">
        <f>Aar!D19</f>
        <v/>
      </c>
      <c r="F19" s="132">
        <f>Aar!E19</f>
        <v>17</v>
      </c>
      <c r="G19" s="132" t="str">
        <f>Aar!F19</f>
        <v>sø</v>
      </c>
      <c r="H19" s="133" t="str">
        <f>September!C25</f>
        <v>Weekend</v>
      </c>
      <c r="I19" s="641" t="str">
        <f>September!DN25</f>
        <v/>
      </c>
      <c r="J19" s="637" t="str">
        <f>Aar!H19</f>
        <v/>
      </c>
      <c r="K19" s="132">
        <f>Aar!I19</f>
        <v>17</v>
      </c>
      <c r="L19" s="132" t="str">
        <f>Aar!J19</f>
        <v>ti</v>
      </c>
      <c r="M19" s="133" t="str">
        <f>Oktober!C25</f>
        <v>Feriedag</v>
      </c>
      <c r="N19" s="641" t="str">
        <f>Oktober!DN25</f>
        <v>Efterårsferie</v>
      </c>
      <c r="O19" s="636" t="str">
        <f>Aar!L19</f>
        <v/>
      </c>
      <c r="P19" s="634">
        <f>Aar!M19</f>
        <v>17</v>
      </c>
      <c r="Q19" s="132" t="str">
        <f>Aar!N19</f>
        <v>fr</v>
      </c>
      <c r="R19" s="133" t="str">
        <f>November!C25</f>
        <v>Skema 1</v>
      </c>
      <c r="S19" s="643" t="str">
        <f>November!DN25</f>
        <v/>
      </c>
      <c r="T19" s="637" t="str">
        <f>Aar!P19</f>
        <v/>
      </c>
      <c r="U19" s="634">
        <f>Aar!Q19</f>
        <v>17</v>
      </c>
      <c r="V19" s="132" t="str">
        <f>Aar!R19</f>
        <v>sø</v>
      </c>
      <c r="W19" s="133" t="str">
        <f>December!C25</f>
        <v>Weekend</v>
      </c>
      <c r="X19" s="641" t="str">
        <f>December!DN25</f>
        <v/>
      </c>
      <c r="Y19" s="637" t="str">
        <f>Aar!T19</f>
        <v/>
      </c>
      <c r="Z19" s="634">
        <f>Aar!U19</f>
        <v>17</v>
      </c>
      <c r="AA19" s="132" t="str">
        <f>Aar!V19</f>
        <v>on</v>
      </c>
      <c r="AB19" s="133" t="str">
        <f>Januar!C25</f>
        <v>Skema 1</v>
      </c>
      <c r="AC19" s="641" t="str">
        <f>Januar!DN25</f>
        <v/>
      </c>
      <c r="AD19" s="637" t="str">
        <f>Aar!X19</f>
        <v/>
      </c>
    </row>
    <row r="20" spans="1:30" ht="35" customHeight="1">
      <c r="A20" s="634">
        <f>Aar!A20</f>
        <v>18</v>
      </c>
      <c r="B20" s="132" t="str">
        <f>Aar!B20</f>
        <v>fr</v>
      </c>
      <c r="C20" s="133" t="str">
        <f>August!C27</f>
        <v>Skema 1</v>
      </c>
      <c r="D20" s="641" t="str">
        <f>August!DN27</f>
        <v/>
      </c>
      <c r="E20" s="637" t="str">
        <f>Aar!D20</f>
        <v/>
      </c>
      <c r="F20" s="132">
        <f>Aar!E20</f>
        <v>18</v>
      </c>
      <c r="G20" s="132" t="str">
        <f>Aar!F20</f>
        <v>ma</v>
      </c>
      <c r="H20" s="133" t="str">
        <f>September!C26</f>
        <v>Skema 1</v>
      </c>
      <c r="I20" s="641" t="str">
        <f>September!DN26</f>
        <v/>
      </c>
      <c r="J20" s="637">
        <f>Aar!H20</f>
        <v>38.142857142857146</v>
      </c>
      <c r="K20" s="132">
        <f>Aar!I20</f>
        <v>18</v>
      </c>
      <c r="L20" s="132" t="str">
        <f>Aar!J20</f>
        <v>on</v>
      </c>
      <c r="M20" s="133" t="str">
        <f>Oktober!C26</f>
        <v>Feriedag</v>
      </c>
      <c r="N20" s="641" t="str">
        <f>Oktober!DN26</f>
        <v>Efterårsferie</v>
      </c>
      <c r="O20" s="636" t="str">
        <f>Aar!L20</f>
        <v/>
      </c>
      <c r="P20" s="634">
        <f>Aar!M20</f>
        <v>18</v>
      </c>
      <c r="Q20" s="132" t="str">
        <f>Aar!N20</f>
        <v>lø</v>
      </c>
      <c r="R20" s="133" t="str">
        <f>November!C26</f>
        <v>Weekend</v>
      </c>
      <c r="S20" s="643" t="str">
        <f>November!DN26</f>
        <v/>
      </c>
      <c r="T20" s="637" t="str">
        <f>Aar!P20</f>
        <v/>
      </c>
      <c r="U20" s="634">
        <f>Aar!Q20</f>
        <v>18</v>
      </c>
      <c r="V20" s="132" t="str">
        <f>Aar!R20</f>
        <v>ma</v>
      </c>
      <c r="W20" s="133" t="str">
        <f>December!C26</f>
        <v>Skema 1</v>
      </c>
      <c r="X20" s="641" t="str">
        <f>December!DN26</f>
        <v/>
      </c>
      <c r="Y20" s="637">
        <f>Aar!T20</f>
        <v>51.142857142857146</v>
      </c>
      <c r="Z20" s="634">
        <f>Aar!U20</f>
        <v>18</v>
      </c>
      <c r="AA20" s="132" t="str">
        <f>Aar!V20</f>
        <v>to</v>
      </c>
      <c r="AB20" s="133" t="str">
        <f>Januar!C26</f>
        <v>Skema 1</v>
      </c>
      <c r="AC20" s="641" t="str">
        <f>Januar!DN26</f>
        <v/>
      </c>
      <c r="AD20" s="637" t="str">
        <f>Aar!X20</f>
        <v/>
      </c>
    </row>
    <row r="21" spans="1:30" ht="35" customHeight="1">
      <c r="A21" s="634">
        <f>Aar!A21</f>
        <v>19</v>
      </c>
      <c r="B21" s="132" t="str">
        <f>Aar!B21</f>
        <v>lø</v>
      </c>
      <c r="C21" s="133" t="str">
        <f>August!C28</f>
        <v>Weekend</v>
      </c>
      <c r="D21" s="641" t="str">
        <f>August!DN28</f>
        <v/>
      </c>
      <c r="E21" s="637" t="str">
        <f>Aar!D21</f>
        <v/>
      </c>
      <c r="F21" s="132">
        <f>Aar!E21</f>
        <v>19</v>
      </c>
      <c r="G21" s="132" t="str">
        <f>Aar!F21</f>
        <v>ti</v>
      </c>
      <c r="H21" s="133" t="str">
        <f>September!C27</f>
        <v>Skema 1</v>
      </c>
      <c r="I21" s="641" t="str">
        <f>September!DN27</f>
        <v/>
      </c>
      <c r="J21" s="637" t="str">
        <f>Aar!H21</f>
        <v/>
      </c>
      <c r="K21" s="132">
        <f>Aar!I21</f>
        <v>19</v>
      </c>
      <c r="L21" s="132" t="str">
        <f>Aar!J21</f>
        <v>to</v>
      </c>
      <c r="M21" s="133" t="str">
        <f>Oktober!C27</f>
        <v>Feriedag</v>
      </c>
      <c r="N21" s="641" t="str">
        <f>Oktober!DN27</f>
        <v>Efterårsferie</v>
      </c>
      <c r="O21" s="636" t="str">
        <f>Aar!L21</f>
        <v/>
      </c>
      <c r="P21" s="634">
        <f>Aar!M21</f>
        <v>19</v>
      </c>
      <c r="Q21" s="132" t="str">
        <f>Aar!N21</f>
        <v>sø</v>
      </c>
      <c r="R21" s="133" t="str">
        <f>November!C27</f>
        <v>Weekend</v>
      </c>
      <c r="S21" s="643" t="str">
        <f>November!DN27</f>
        <v/>
      </c>
      <c r="T21" s="637" t="str">
        <f>Aar!P21</f>
        <v/>
      </c>
      <c r="U21" s="634">
        <f>Aar!Q21</f>
        <v>19</v>
      </c>
      <c r="V21" s="132" t="str">
        <f>Aar!R21</f>
        <v>ti</v>
      </c>
      <c r="W21" s="133" t="str">
        <f>December!C27</f>
        <v>Skema 1</v>
      </c>
      <c r="X21" s="641" t="str">
        <f>December!DN27</f>
        <v/>
      </c>
      <c r="Y21" s="637" t="str">
        <f>Aar!T21</f>
        <v/>
      </c>
      <c r="Z21" s="634">
        <f>Aar!U21</f>
        <v>19</v>
      </c>
      <c r="AA21" s="132" t="str">
        <f>Aar!V21</f>
        <v>fr</v>
      </c>
      <c r="AB21" s="133" t="str">
        <f>Januar!C27</f>
        <v>Skema 1</v>
      </c>
      <c r="AC21" s="641" t="str">
        <f>Januar!DN27</f>
        <v/>
      </c>
      <c r="AD21" s="637" t="str">
        <f>Aar!X21</f>
        <v/>
      </c>
    </row>
    <row r="22" spans="1:30" ht="35" customHeight="1">
      <c r="A22" s="634">
        <f>Aar!A22</f>
        <v>20</v>
      </c>
      <c r="B22" s="132" t="str">
        <f>Aar!B22</f>
        <v>sø</v>
      </c>
      <c r="C22" s="133" t="str">
        <f>August!C29</f>
        <v>Weekend</v>
      </c>
      <c r="D22" s="641" t="str">
        <f>August!DN29</f>
        <v/>
      </c>
      <c r="E22" s="637" t="str">
        <f>Aar!D22</f>
        <v/>
      </c>
      <c r="F22" s="132">
        <f>Aar!E22</f>
        <v>20</v>
      </c>
      <c r="G22" s="132" t="str">
        <f>Aar!F22</f>
        <v>on</v>
      </c>
      <c r="H22" s="133" t="str">
        <f>September!C28</f>
        <v>Skema 1</v>
      </c>
      <c r="I22" s="641" t="str">
        <f>September!DN28</f>
        <v/>
      </c>
      <c r="J22" s="637" t="str">
        <f>Aar!H22</f>
        <v/>
      </c>
      <c r="K22" s="132">
        <f>Aar!I22</f>
        <v>20</v>
      </c>
      <c r="L22" s="132" t="str">
        <f>Aar!J22</f>
        <v>fr</v>
      </c>
      <c r="M22" s="133" t="str">
        <f>Oktober!C28</f>
        <v>Feriedag</v>
      </c>
      <c r="N22" s="641" t="str">
        <f>Oktober!DN28</f>
        <v>Efterårsferie</v>
      </c>
      <c r="O22" s="636" t="str">
        <f>Aar!L22</f>
        <v/>
      </c>
      <c r="P22" s="634">
        <f>Aar!M22</f>
        <v>20</v>
      </c>
      <c r="Q22" s="132" t="str">
        <f>Aar!N22</f>
        <v>ma</v>
      </c>
      <c r="R22" s="133" t="str">
        <f>November!C28</f>
        <v>Skema 1</v>
      </c>
      <c r="S22" s="643" t="str">
        <f>November!DN28</f>
        <v/>
      </c>
      <c r="T22" s="637">
        <f>Aar!P22</f>
        <v>47.142857142857146</v>
      </c>
      <c r="U22" s="634">
        <f>Aar!Q22</f>
        <v>20</v>
      </c>
      <c r="V22" s="132" t="str">
        <f>Aar!R22</f>
        <v>on</v>
      </c>
      <c r="W22" s="133" t="str">
        <f>December!C28</f>
        <v>Nul-dag</v>
      </c>
      <c r="X22" s="641" t="str">
        <f>December!DN28</f>
        <v/>
      </c>
      <c r="Y22" s="637" t="str">
        <f>Aar!T22</f>
        <v/>
      </c>
      <c r="Z22" s="634">
        <f>Aar!U22</f>
        <v>20</v>
      </c>
      <c r="AA22" s="132" t="str">
        <f>Aar!V22</f>
        <v>lø</v>
      </c>
      <c r="AB22" s="133" t="str">
        <f>Januar!C28</f>
        <v>Weekend</v>
      </c>
      <c r="AC22" s="641" t="str">
        <f>Januar!DN28</f>
        <v/>
      </c>
      <c r="AD22" s="637" t="str">
        <f>Aar!X22</f>
        <v/>
      </c>
    </row>
    <row r="23" spans="1:30" ht="35" customHeight="1">
      <c r="A23" s="634">
        <f>Aar!A23</f>
        <v>21</v>
      </c>
      <c r="B23" s="132" t="str">
        <f>Aar!B23</f>
        <v>ma</v>
      </c>
      <c r="C23" s="133" t="str">
        <f>August!C30</f>
        <v>Skema 1</v>
      </c>
      <c r="D23" s="641" t="str">
        <f>August!DN30</f>
        <v/>
      </c>
      <c r="E23" s="637">
        <f>Aar!D23</f>
        <v>34.142857142857146</v>
      </c>
      <c r="F23" s="132">
        <f>Aar!E23</f>
        <v>21</v>
      </c>
      <c r="G23" s="132" t="str">
        <f>Aar!F23</f>
        <v>to</v>
      </c>
      <c r="H23" s="133" t="str">
        <f>September!C29</f>
        <v>Skema 1</v>
      </c>
      <c r="I23" s="641" t="str">
        <f>September!DN29</f>
        <v/>
      </c>
      <c r="J23" s="637" t="str">
        <f>Aar!H23</f>
        <v/>
      </c>
      <c r="K23" s="132">
        <f>Aar!I23</f>
        <v>21</v>
      </c>
      <c r="L23" s="132" t="str">
        <f>Aar!J23</f>
        <v>lø</v>
      </c>
      <c r="M23" s="133" t="str">
        <f>Oktober!C29</f>
        <v>Weekend</v>
      </c>
      <c r="N23" s="641" t="str">
        <f>Oktober!DN29</f>
        <v/>
      </c>
      <c r="O23" s="636" t="str">
        <f>Aar!L23</f>
        <v/>
      </c>
      <c r="P23" s="634">
        <f>Aar!M23</f>
        <v>21</v>
      </c>
      <c r="Q23" s="132" t="str">
        <f>Aar!N23</f>
        <v>ti</v>
      </c>
      <c r="R23" s="133" t="str">
        <f>November!C29</f>
        <v>Skema 1</v>
      </c>
      <c r="S23" s="643" t="str">
        <f>November!DN29</f>
        <v/>
      </c>
      <c r="T23" s="637" t="str">
        <f>Aar!P23</f>
        <v/>
      </c>
      <c r="U23" s="634">
        <f>Aar!Q23</f>
        <v>21</v>
      </c>
      <c r="V23" s="132" t="str">
        <f>Aar!R23</f>
        <v>to</v>
      </c>
      <c r="W23" s="133" t="str">
        <f>December!C29</f>
        <v>Nul-dag</v>
      </c>
      <c r="X23" s="641" t="str">
        <f>December!DN29</f>
        <v/>
      </c>
      <c r="Y23" s="637" t="str">
        <f>Aar!T23</f>
        <v/>
      </c>
      <c r="Z23" s="634">
        <f>Aar!U23</f>
        <v>21</v>
      </c>
      <c r="AA23" s="132" t="str">
        <f>Aar!V23</f>
        <v>sø</v>
      </c>
      <c r="AB23" s="133" t="str">
        <f>Januar!C29</f>
        <v>Weekend</v>
      </c>
      <c r="AC23" s="641" t="str">
        <f>Januar!DN29</f>
        <v/>
      </c>
      <c r="AD23" s="637" t="str">
        <f>Aar!X23</f>
        <v/>
      </c>
    </row>
    <row r="24" spans="1:30" ht="35" customHeight="1">
      <c r="A24" s="634">
        <f>Aar!A24</f>
        <v>22</v>
      </c>
      <c r="B24" s="132" t="str">
        <f>Aar!B24</f>
        <v>ti</v>
      </c>
      <c r="C24" s="133" t="str">
        <f>August!C31</f>
        <v>Skema 1</v>
      </c>
      <c r="D24" s="641" t="str">
        <f>August!DN31</f>
        <v/>
      </c>
      <c r="E24" s="637" t="str">
        <f>Aar!D24</f>
        <v/>
      </c>
      <c r="F24" s="132">
        <f>Aar!E24</f>
        <v>22</v>
      </c>
      <c r="G24" s="132" t="str">
        <f>Aar!F24</f>
        <v>fr</v>
      </c>
      <c r="H24" s="133" t="str">
        <f>September!C30</f>
        <v>Skema 1</v>
      </c>
      <c r="I24" s="641" t="str">
        <f>September!DN30</f>
        <v/>
      </c>
      <c r="J24" s="637" t="str">
        <f>Aar!H24</f>
        <v/>
      </c>
      <c r="K24" s="132">
        <f>Aar!I24</f>
        <v>22</v>
      </c>
      <c r="L24" s="132" t="str">
        <f>Aar!J24</f>
        <v>sø</v>
      </c>
      <c r="M24" s="133" t="str">
        <f>Oktober!C30</f>
        <v>Weekend</v>
      </c>
      <c r="N24" s="641" t="str">
        <f>Oktober!DN30</f>
        <v/>
      </c>
      <c r="O24" s="636" t="str">
        <f>Aar!L24</f>
        <v/>
      </c>
      <c r="P24" s="634">
        <f>Aar!M24</f>
        <v>22</v>
      </c>
      <c r="Q24" s="132" t="str">
        <f>Aar!N24</f>
        <v>on</v>
      </c>
      <c r="R24" s="133" t="str">
        <f>November!C30</f>
        <v>Skema 1</v>
      </c>
      <c r="S24" s="643" t="str">
        <f>November!DN30</f>
        <v/>
      </c>
      <c r="T24" s="637" t="str">
        <f>Aar!P24</f>
        <v/>
      </c>
      <c r="U24" s="634">
        <f>Aar!Q24</f>
        <v>22</v>
      </c>
      <c r="V24" s="132" t="str">
        <f>Aar!R24</f>
        <v>fr</v>
      </c>
      <c r="W24" s="133" t="str">
        <f>December!C30</f>
        <v>Nul-dag</v>
      </c>
      <c r="X24" s="641" t="str">
        <f>December!DN30</f>
        <v/>
      </c>
      <c r="Y24" s="637" t="str">
        <f>Aar!T24</f>
        <v/>
      </c>
      <c r="Z24" s="634">
        <f>Aar!U24</f>
        <v>22</v>
      </c>
      <c r="AA24" s="132" t="str">
        <f>Aar!V24</f>
        <v>ma</v>
      </c>
      <c r="AB24" s="133" t="str">
        <f>Januar!C30</f>
        <v>Skema 1</v>
      </c>
      <c r="AC24" s="641" t="str">
        <f>Januar!DN30</f>
        <v/>
      </c>
      <c r="AD24" s="637">
        <f>Aar!X24</f>
        <v>4</v>
      </c>
    </row>
    <row r="25" spans="1:30" ht="35" customHeight="1">
      <c r="A25" s="634">
        <f>Aar!A25</f>
        <v>23</v>
      </c>
      <c r="B25" s="132" t="str">
        <f>Aar!B25</f>
        <v>on</v>
      </c>
      <c r="C25" s="133" t="str">
        <f>August!C32</f>
        <v>Skema 1</v>
      </c>
      <c r="D25" s="641" t="str">
        <f>August!DN32</f>
        <v/>
      </c>
      <c r="E25" s="637" t="str">
        <f>Aar!D25</f>
        <v/>
      </c>
      <c r="F25" s="132">
        <f>Aar!E25</f>
        <v>23</v>
      </c>
      <c r="G25" s="132" t="str">
        <f>Aar!F25</f>
        <v>lø</v>
      </c>
      <c r="H25" s="133" t="str">
        <f>September!C31</f>
        <v>Weekend</v>
      </c>
      <c r="I25" s="641" t="str">
        <f>September!DN31</f>
        <v/>
      </c>
      <c r="J25" s="637" t="str">
        <f>Aar!H25</f>
        <v/>
      </c>
      <c r="K25" s="132">
        <f>Aar!I25</f>
        <v>23</v>
      </c>
      <c r="L25" s="132" t="str">
        <f>Aar!J25</f>
        <v>ma</v>
      </c>
      <c r="M25" s="133" t="str">
        <f>Oktober!C31</f>
        <v>Skema 1</v>
      </c>
      <c r="N25" s="641" t="str">
        <f>Oktober!DN31</f>
        <v/>
      </c>
      <c r="O25" s="636">
        <f>Aar!L25</f>
        <v>43.142857142857146</v>
      </c>
      <c r="P25" s="634">
        <f>Aar!M25</f>
        <v>23</v>
      </c>
      <c r="Q25" s="132" t="str">
        <f>Aar!N25</f>
        <v>to</v>
      </c>
      <c r="R25" s="133" t="str">
        <f>November!C31</f>
        <v>Skema 1</v>
      </c>
      <c r="S25" s="643" t="str">
        <f>November!DN31</f>
        <v/>
      </c>
      <c r="T25" s="637" t="str">
        <f>Aar!P25</f>
        <v/>
      </c>
      <c r="U25" s="634">
        <f>Aar!Q25</f>
        <v>23</v>
      </c>
      <c r="V25" s="132" t="str">
        <f>Aar!R25</f>
        <v>lø</v>
      </c>
      <c r="W25" s="133" t="str">
        <f>December!C31</f>
        <v>Weekend</v>
      </c>
      <c r="X25" s="641" t="str">
        <f>December!DN31</f>
        <v/>
      </c>
      <c r="Y25" s="637" t="str">
        <f>Aar!T25</f>
        <v/>
      </c>
      <c r="Z25" s="634">
        <f>Aar!U25</f>
        <v>23</v>
      </c>
      <c r="AA25" s="132" t="str">
        <f>Aar!V25</f>
        <v>ti</v>
      </c>
      <c r="AB25" s="133" t="str">
        <f>Januar!C31</f>
        <v>Skema 1</v>
      </c>
      <c r="AC25" s="641" t="str">
        <f>Januar!DN31</f>
        <v/>
      </c>
      <c r="AD25" s="637" t="str">
        <f>Aar!X25</f>
        <v/>
      </c>
    </row>
    <row r="26" spans="1:30" ht="35" customHeight="1">
      <c r="A26" s="634">
        <f>Aar!A26</f>
        <v>24</v>
      </c>
      <c r="B26" s="132" t="str">
        <f>Aar!B26</f>
        <v>to</v>
      </c>
      <c r="C26" s="133" t="str">
        <f>August!C33</f>
        <v>Skema 1</v>
      </c>
      <c r="D26" s="641" t="str">
        <f>August!DN33</f>
        <v/>
      </c>
      <c r="E26" s="637" t="str">
        <f>Aar!D26</f>
        <v/>
      </c>
      <c r="F26" s="132">
        <f>Aar!E26</f>
        <v>24</v>
      </c>
      <c r="G26" s="132" t="str">
        <f>Aar!F26</f>
        <v>sø</v>
      </c>
      <c r="H26" s="133" t="str">
        <f>September!C32</f>
        <v>Weekend</v>
      </c>
      <c r="I26" s="641" t="str">
        <f>September!DN32</f>
        <v/>
      </c>
      <c r="J26" s="637" t="str">
        <f>Aar!H26</f>
        <v/>
      </c>
      <c r="K26" s="132">
        <f>Aar!I26</f>
        <v>24</v>
      </c>
      <c r="L26" s="132" t="str">
        <f>Aar!J26</f>
        <v>ti</v>
      </c>
      <c r="M26" s="133" t="str">
        <f>Oktober!C32</f>
        <v>Skema 1</v>
      </c>
      <c r="N26" s="641" t="str">
        <f>Oktober!DN32</f>
        <v/>
      </c>
      <c r="O26" s="636" t="str">
        <f>Aar!L26</f>
        <v/>
      </c>
      <c r="P26" s="634">
        <f>Aar!M26</f>
        <v>24</v>
      </c>
      <c r="Q26" s="132" t="str">
        <f>Aar!N26</f>
        <v>fr</v>
      </c>
      <c r="R26" s="133" t="str">
        <f>November!C32</f>
        <v>Skema 1</v>
      </c>
      <c r="S26" s="643" t="str">
        <f>November!DN32</f>
        <v/>
      </c>
      <c r="T26" s="637" t="str">
        <f>Aar!P26</f>
        <v/>
      </c>
      <c r="U26" s="634">
        <f>Aar!Q26</f>
        <v>24</v>
      </c>
      <c r="V26" s="132" t="str">
        <f>Aar!R26</f>
        <v>sø</v>
      </c>
      <c r="W26" s="133" t="str">
        <f>December!C32</f>
        <v>Weekend</v>
      </c>
      <c r="X26" s="641" t="str">
        <f>December!DN32</f>
        <v>Juleaftensdag</v>
      </c>
      <c r="Y26" s="637" t="str">
        <f>Aar!T26</f>
        <v/>
      </c>
      <c r="Z26" s="634">
        <f>Aar!U26</f>
        <v>24</v>
      </c>
      <c r="AA26" s="132" t="str">
        <f>Aar!V26</f>
        <v>on</v>
      </c>
      <c r="AB26" s="133" t="str">
        <f>Januar!C32</f>
        <v>Skema 1</v>
      </c>
      <c r="AC26" s="641" t="str">
        <f>Januar!DN32</f>
        <v/>
      </c>
      <c r="AD26" s="637" t="str">
        <f>Aar!X26</f>
        <v/>
      </c>
    </row>
    <row r="27" spans="1:30" ht="35" customHeight="1">
      <c r="A27" s="634">
        <f>Aar!A27</f>
        <v>25</v>
      </c>
      <c r="B27" s="132" t="str">
        <f>Aar!B27</f>
        <v>fr</v>
      </c>
      <c r="C27" s="133" t="str">
        <f>August!C34</f>
        <v>Skema 1</v>
      </c>
      <c r="D27" s="641" t="str">
        <f>August!DN34</f>
        <v/>
      </c>
      <c r="E27" s="637" t="str">
        <f>Aar!D27</f>
        <v/>
      </c>
      <c r="F27" s="132">
        <f>Aar!E27</f>
        <v>25</v>
      </c>
      <c r="G27" s="132" t="str">
        <f>Aar!F27</f>
        <v>ma</v>
      </c>
      <c r="H27" s="133" t="str">
        <f>September!C33</f>
        <v>Skema 1</v>
      </c>
      <c r="I27" s="641" t="str">
        <f>September!DN33</f>
        <v/>
      </c>
      <c r="J27" s="637">
        <f>Aar!H27</f>
        <v>39.142857142857146</v>
      </c>
      <c r="K27" s="132">
        <f>Aar!I27</f>
        <v>25</v>
      </c>
      <c r="L27" s="132" t="str">
        <f>Aar!J27</f>
        <v>on</v>
      </c>
      <c r="M27" s="133" t="str">
        <f>Oktober!C33</f>
        <v>Skema 1</v>
      </c>
      <c r="N27" s="641" t="str">
        <f>Oktober!DN33</f>
        <v/>
      </c>
      <c r="O27" s="636" t="str">
        <f>Aar!L27</f>
        <v/>
      </c>
      <c r="P27" s="634">
        <f>Aar!M27</f>
        <v>25</v>
      </c>
      <c r="Q27" s="132" t="str">
        <f>Aar!N27</f>
        <v>lø</v>
      </c>
      <c r="R27" s="133" t="str">
        <f>November!C33</f>
        <v>Weekend</v>
      </c>
      <c r="S27" s="643" t="str">
        <f>November!DN33</f>
        <v/>
      </c>
      <c r="T27" s="637" t="str">
        <f>Aar!P27</f>
        <v/>
      </c>
      <c r="U27" s="634">
        <f>Aar!Q27</f>
        <v>25</v>
      </c>
      <c r="V27" s="132" t="str">
        <f>Aar!R27</f>
        <v>ma</v>
      </c>
      <c r="W27" s="133" t="str">
        <f>December!C33</f>
        <v>SH-dag</v>
      </c>
      <c r="X27" s="641" t="str">
        <f>December!DN33</f>
        <v>Juledag</v>
      </c>
      <c r="Y27" s="637">
        <f>Aar!T27</f>
        <v>52.142857142857146</v>
      </c>
      <c r="Z27" s="634">
        <f>Aar!U27</f>
        <v>25</v>
      </c>
      <c r="AA27" s="132" t="str">
        <f>Aar!V27</f>
        <v>to</v>
      </c>
      <c r="AB27" s="133" t="str">
        <f>Januar!C33</f>
        <v>Skema 1</v>
      </c>
      <c r="AC27" s="641" t="str">
        <f>Januar!DN33</f>
        <v/>
      </c>
      <c r="AD27" s="637" t="str">
        <f>Aar!X27</f>
        <v/>
      </c>
    </row>
    <row r="28" spans="1:30" ht="35" customHeight="1">
      <c r="A28" s="634">
        <f>Aar!A28</f>
        <v>26</v>
      </c>
      <c r="B28" s="132" t="str">
        <f>Aar!B28</f>
        <v>lø</v>
      </c>
      <c r="C28" s="133" t="str">
        <f>August!C35</f>
        <v>Weekend</v>
      </c>
      <c r="D28" s="641" t="str">
        <f>August!DN35</f>
        <v/>
      </c>
      <c r="E28" s="637" t="str">
        <f>Aar!D28</f>
        <v/>
      </c>
      <c r="F28" s="132">
        <f>Aar!E28</f>
        <v>26</v>
      </c>
      <c r="G28" s="132" t="str">
        <f>Aar!F28</f>
        <v>ti</v>
      </c>
      <c r="H28" s="133" t="str">
        <f>September!C34</f>
        <v>Skema 1</v>
      </c>
      <c r="I28" s="641" t="str">
        <f>September!DN34</f>
        <v/>
      </c>
      <c r="J28" s="637" t="str">
        <f>Aar!H28</f>
        <v/>
      </c>
      <c r="K28" s="132">
        <f>Aar!I28</f>
        <v>26</v>
      </c>
      <c r="L28" s="132" t="str">
        <f>Aar!J28</f>
        <v>to</v>
      </c>
      <c r="M28" s="133" t="str">
        <f>Oktober!C34</f>
        <v>Skema 1</v>
      </c>
      <c r="N28" s="641" t="str">
        <f>Oktober!DN34</f>
        <v/>
      </c>
      <c r="O28" s="636" t="str">
        <f>Aar!L28</f>
        <v/>
      </c>
      <c r="P28" s="634">
        <f>Aar!M28</f>
        <v>26</v>
      </c>
      <c r="Q28" s="132" t="str">
        <f>Aar!N28</f>
        <v>sø</v>
      </c>
      <c r="R28" s="133" t="str">
        <f>November!C34</f>
        <v>Weekend</v>
      </c>
      <c r="S28" s="643" t="str">
        <f>November!DN34</f>
        <v/>
      </c>
      <c r="T28" s="637" t="str">
        <f>Aar!P28</f>
        <v/>
      </c>
      <c r="U28" s="634">
        <f>Aar!Q28</f>
        <v>26</v>
      </c>
      <c r="V28" s="132" t="str">
        <f>Aar!R28</f>
        <v>ti</v>
      </c>
      <c r="W28" s="133" t="str">
        <f>December!C34</f>
        <v>SH-dag</v>
      </c>
      <c r="X28" s="641" t="str">
        <f>December!DN34</f>
        <v>2. juledag</v>
      </c>
      <c r="Y28" s="637" t="str">
        <f>Aar!T28</f>
        <v/>
      </c>
      <c r="Z28" s="634">
        <f>Aar!U28</f>
        <v>26</v>
      </c>
      <c r="AA28" s="132" t="str">
        <f>Aar!V28</f>
        <v>fr</v>
      </c>
      <c r="AB28" s="133" t="str">
        <f>Januar!C34</f>
        <v>Skema 1</v>
      </c>
      <c r="AC28" s="641" t="str">
        <f>Januar!DN34</f>
        <v/>
      </c>
      <c r="AD28" s="637" t="str">
        <f>Aar!X28</f>
        <v/>
      </c>
    </row>
    <row r="29" spans="1:30" ht="35" customHeight="1">
      <c r="A29" s="634">
        <f>Aar!A29</f>
        <v>27</v>
      </c>
      <c r="B29" s="132" t="str">
        <f>Aar!B29</f>
        <v>sø</v>
      </c>
      <c r="C29" s="133" t="str">
        <f>August!C36</f>
        <v>Weekend</v>
      </c>
      <c r="D29" s="641" t="str">
        <f>August!DN36</f>
        <v/>
      </c>
      <c r="E29" s="637" t="str">
        <f>Aar!D29</f>
        <v/>
      </c>
      <c r="F29" s="132">
        <f>Aar!E29</f>
        <v>27</v>
      </c>
      <c r="G29" s="132" t="str">
        <f>Aar!F29</f>
        <v>on</v>
      </c>
      <c r="H29" s="133" t="str">
        <f>September!C35</f>
        <v>Skema 1</v>
      </c>
      <c r="I29" s="641" t="str">
        <f>September!DN35</f>
        <v/>
      </c>
      <c r="J29" s="637" t="str">
        <f>Aar!H29</f>
        <v/>
      </c>
      <c r="K29" s="132">
        <f>Aar!I29</f>
        <v>27</v>
      </c>
      <c r="L29" s="132" t="str">
        <f>Aar!J29</f>
        <v>fr</v>
      </c>
      <c r="M29" s="133" t="str">
        <f>Oktober!C35</f>
        <v>Skema 1</v>
      </c>
      <c r="N29" s="641" t="str">
        <f>Oktober!DN35</f>
        <v/>
      </c>
      <c r="O29" s="636" t="str">
        <f>Aar!L29</f>
        <v/>
      </c>
      <c r="P29" s="634">
        <f>Aar!M29</f>
        <v>27</v>
      </c>
      <c r="Q29" s="132" t="str">
        <f>Aar!N29</f>
        <v>ma</v>
      </c>
      <c r="R29" s="133" t="str">
        <f>November!C35</f>
        <v>Skema 1</v>
      </c>
      <c r="S29" s="643" t="str">
        <f>November!DN35</f>
        <v/>
      </c>
      <c r="T29" s="637">
        <f>Aar!P29</f>
        <v>48.142857142857146</v>
      </c>
      <c r="U29" s="634">
        <f>Aar!Q29</f>
        <v>27</v>
      </c>
      <c r="V29" s="132" t="str">
        <f>Aar!R29</f>
        <v>on</v>
      </c>
      <c r="W29" s="133" t="str">
        <f>December!C35</f>
        <v>Nul-dag</v>
      </c>
      <c r="X29" s="641" t="str">
        <f>December!DN35</f>
        <v/>
      </c>
      <c r="Y29" s="637" t="str">
        <f>Aar!T29</f>
        <v/>
      </c>
      <c r="Z29" s="634">
        <f>Aar!U29</f>
        <v>27</v>
      </c>
      <c r="AA29" s="132" t="str">
        <f>Aar!V29</f>
        <v>lø</v>
      </c>
      <c r="AB29" s="133" t="str">
        <f>Januar!C35</f>
        <v>Weekend</v>
      </c>
      <c r="AC29" s="641" t="str">
        <f>Januar!DN35</f>
        <v/>
      </c>
      <c r="AD29" s="637" t="str">
        <f>Aar!X29</f>
        <v/>
      </c>
    </row>
    <row r="30" spans="1:30" ht="35" customHeight="1">
      <c r="A30" s="634">
        <f>Aar!A30</f>
        <v>28</v>
      </c>
      <c r="B30" s="132" t="str">
        <f>Aar!B30</f>
        <v>ma</v>
      </c>
      <c r="C30" s="133" t="str">
        <f>August!C37</f>
        <v>Skema 1</v>
      </c>
      <c r="D30" s="641" t="str">
        <f>August!DN37</f>
        <v/>
      </c>
      <c r="E30" s="637">
        <f>Aar!D30</f>
        <v>35.142857142857146</v>
      </c>
      <c r="F30" s="132">
        <f>Aar!E30</f>
        <v>28</v>
      </c>
      <c r="G30" s="132" t="str">
        <f>Aar!F30</f>
        <v>to</v>
      </c>
      <c r="H30" s="133" t="str">
        <f>September!C36</f>
        <v>Skema 1</v>
      </c>
      <c r="I30" s="641" t="str">
        <f>September!DN36</f>
        <v/>
      </c>
      <c r="J30" s="637" t="str">
        <f>Aar!H30</f>
        <v/>
      </c>
      <c r="K30" s="132">
        <f>Aar!I30</f>
        <v>28</v>
      </c>
      <c r="L30" s="132" t="str">
        <f>Aar!J30</f>
        <v>lø</v>
      </c>
      <c r="M30" s="133" t="str">
        <f>Oktober!C36</f>
        <v>Weekend</v>
      </c>
      <c r="N30" s="641" t="str">
        <f>Oktober!DN36</f>
        <v/>
      </c>
      <c r="O30" s="636" t="str">
        <f>Aar!L30</f>
        <v/>
      </c>
      <c r="P30" s="634">
        <f>Aar!M30</f>
        <v>28</v>
      </c>
      <c r="Q30" s="132" t="str">
        <f>Aar!N30</f>
        <v>ti</v>
      </c>
      <c r="R30" s="133" t="str">
        <f>November!C36</f>
        <v>Skema 1</v>
      </c>
      <c r="S30" s="643" t="str">
        <f>November!DN36</f>
        <v/>
      </c>
      <c r="T30" s="637" t="str">
        <f>Aar!P30</f>
        <v/>
      </c>
      <c r="U30" s="634">
        <f>Aar!Q30</f>
        <v>28</v>
      </c>
      <c r="V30" s="132" t="str">
        <f>Aar!R30</f>
        <v>to</v>
      </c>
      <c r="W30" s="133" t="str">
        <f>December!C36</f>
        <v>Nul-dag</v>
      </c>
      <c r="X30" s="641" t="str">
        <f>December!DN36</f>
        <v/>
      </c>
      <c r="Y30" s="637" t="str">
        <f>Aar!T30</f>
        <v/>
      </c>
      <c r="Z30" s="634">
        <f>Aar!U30</f>
        <v>28</v>
      </c>
      <c r="AA30" s="132" t="str">
        <f>Aar!V30</f>
        <v>sø</v>
      </c>
      <c r="AB30" s="133" t="str">
        <f>Januar!C36</f>
        <v>Weekend</v>
      </c>
      <c r="AC30" s="641" t="str">
        <f>Januar!DN36</f>
        <v/>
      </c>
      <c r="AD30" s="637" t="str">
        <f>Aar!X30</f>
        <v/>
      </c>
    </row>
    <row r="31" spans="1:30" ht="35" customHeight="1">
      <c r="A31" s="634">
        <f>Aar!A31</f>
        <v>29</v>
      </c>
      <c r="B31" s="132" t="str">
        <f>Aar!B31</f>
        <v>ti</v>
      </c>
      <c r="C31" s="133" t="str">
        <f>August!C38</f>
        <v>Skema 1</v>
      </c>
      <c r="D31" s="641" t="str">
        <f>August!DN38</f>
        <v/>
      </c>
      <c r="E31" s="637" t="str">
        <f>Aar!D31</f>
        <v/>
      </c>
      <c r="F31" s="132">
        <f>Aar!E31</f>
        <v>29</v>
      </c>
      <c r="G31" s="132" t="str">
        <f>Aar!F31</f>
        <v>fr</v>
      </c>
      <c r="H31" s="133" t="str">
        <f>September!C37</f>
        <v>Skema 1</v>
      </c>
      <c r="I31" s="641" t="str">
        <f>September!DN37</f>
        <v/>
      </c>
      <c r="J31" s="637" t="str">
        <f>Aar!H31</f>
        <v/>
      </c>
      <c r="K31" s="132">
        <f>Aar!I31</f>
        <v>29</v>
      </c>
      <c r="L31" s="132" t="str">
        <f>Aar!J31</f>
        <v>sø</v>
      </c>
      <c r="M31" s="133" t="str">
        <f>Oktober!C37</f>
        <v>Weekend</v>
      </c>
      <c r="N31" s="641" t="str">
        <f>Oktober!DN37</f>
        <v/>
      </c>
      <c r="O31" s="636" t="str">
        <f>Aar!L31</f>
        <v/>
      </c>
      <c r="P31" s="634">
        <f>Aar!M31</f>
        <v>29</v>
      </c>
      <c r="Q31" s="132" t="str">
        <f>Aar!N31</f>
        <v>on</v>
      </c>
      <c r="R31" s="133" t="str">
        <f>November!C37</f>
        <v>Skema 1</v>
      </c>
      <c r="S31" s="643" t="str">
        <f>November!DN37</f>
        <v/>
      </c>
      <c r="T31" s="637" t="str">
        <f>Aar!P31</f>
        <v/>
      </c>
      <c r="U31" s="634">
        <f>Aar!Q31</f>
        <v>29</v>
      </c>
      <c r="V31" s="132" t="str">
        <f>Aar!R31</f>
        <v>fr</v>
      </c>
      <c r="W31" s="133" t="str">
        <f>December!C37</f>
        <v>Nul-dag</v>
      </c>
      <c r="X31" s="641" t="str">
        <f>December!DN37</f>
        <v/>
      </c>
      <c r="Y31" s="637" t="str">
        <f>Aar!T31</f>
        <v/>
      </c>
      <c r="Z31" s="634">
        <f>Aar!U31</f>
        <v>29</v>
      </c>
      <c r="AA31" s="132" t="str">
        <f>Aar!V31</f>
        <v>ma</v>
      </c>
      <c r="AB31" s="133" t="str">
        <f>Januar!C37</f>
        <v>Skema 1</v>
      </c>
      <c r="AC31" s="641" t="str">
        <f>Januar!DN37</f>
        <v/>
      </c>
      <c r="AD31" s="637">
        <f>Aar!X31</f>
        <v>5</v>
      </c>
    </row>
    <row r="32" spans="1:30" ht="35" customHeight="1">
      <c r="A32" s="634">
        <f>Aar!A32</f>
        <v>30</v>
      </c>
      <c r="B32" s="132" t="str">
        <f>Aar!B32</f>
        <v>on</v>
      </c>
      <c r="C32" s="133" t="str">
        <f>August!C39</f>
        <v>Skema 1</v>
      </c>
      <c r="D32" s="641" t="str">
        <f>August!DN39</f>
        <v/>
      </c>
      <c r="E32" s="637" t="str">
        <f>Aar!D32</f>
        <v/>
      </c>
      <c r="F32" s="132">
        <f>Aar!E32</f>
        <v>30</v>
      </c>
      <c r="G32" s="132" t="str">
        <f>Aar!F32</f>
        <v>lø</v>
      </c>
      <c r="H32" s="133" t="str">
        <f>September!C38</f>
        <v>Weekend</v>
      </c>
      <c r="I32" s="641" t="str">
        <f>September!DN38</f>
        <v/>
      </c>
      <c r="J32" s="637" t="str">
        <f>Aar!H32</f>
        <v/>
      </c>
      <c r="K32" s="132">
        <f>Aar!I32</f>
        <v>30</v>
      </c>
      <c r="L32" s="132" t="str">
        <f>Aar!J32</f>
        <v>ma</v>
      </c>
      <c r="M32" s="133" t="str">
        <f>Oktober!C38</f>
        <v>Skema 1</v>
      </c>
      <c r="N32" s="641" t="str">
        <f>Oktober!DN38</f>
        <v/>
      </c>
      <c r="O32" s="636">
        <f>Aar!L32</f>
        <v>44.142857142857146</v>
      </c>
      <c r="P32" s="634">
        <f>Aar!M32</f>
        <v>30</v>
      </c>
      <c r="Q32" s="132" t="str">
        <f>Aar!N32</f>
        <v>to</v>
      </c>
      <c r="R32" s="133" t="str">
        <f>November!C38</f>
        <v>Skema 1</v>
      </c>
      <c r="S32" s="643" t="str">
        <f>November!DN38</f>
        <v/>
      </c>
      <c r="T32" s="637" t="str">
        <f>Aar!P32</f>
        <v/>
      </c>
      <c r="U32" s="634">
        <f>Aar!Q32</f>
        <v>30</v>
      </c>
      <c r="V32" s="132" t="str">
        <f>Aar!R32</f>
        <v>lø</v>
      </c>
      <c r="W32" s="133" t="str">
        <f>December!C38</f>
        <v>Weekend</v>
      </c>
      <c r="X32" s="641" t="str">
        <f>December!DN38</f>
        <v/>
      </c>
      <c r="Y32" s="637" t="str">
        <f>Aar!T32</f>
        <v/>
      </c>
      <c r="Z32" s="634">
        <f>Aar!U32</f>
        <v>30</v>
      </c>
      <c r="AA32" s="132" t="str">
        <f>Aar!V32</f>
        <v>ti</v>
      </c>
      <c r="AB32" s="133" t="str">
        <f>Januar!C38</f>
        <v>Skema 1</v>
      </c>
      <c r="AC32" s="641" t="str">
        <f>Januar!DN38</f>
        <v/>
      </c>
      <c r="AD32" s="637" t="str">
        <f>Aar!X32</f>
        <v/>
      </c>
    </row>
    <row r="33" spans="1:30" ht="35" customHeight="1" thickBot="1">
      <c r="A33" s="634">
        <f>Aar!A33</f>
        <v>31</v>
      </c>
      <c r="B33" s="132" t="str">
        <f>Aar!B33</f>
        <v>to</v>
      </c>
      <c r="C33" s="133" t="str">
        <f>August!C40</f>
        <v>Skema 1</v>
      </c>
      <c r="D33" s="641" t="str">
        <f>August!DN40</f>
        <v/>
      </c>
      <c r="E33" s="637" t="str">
        <f>Aar!D33</f>
        <v/>
      </c>
      <c r="F33" s="82"/>
      <c r="G33" s="82"/>
      <c r="H33" s="83"/>
      <c r="I33" s="83"/>
      <c r="J33" s="491"/>
      <c r="K33" s="609">
        <f>Aar!I33</f>
        <v>31</v>
      </c>
      <c r="L33" s="610" t="str">
        <f>Aar!J33</f>
        <v>ti</v>
      </c>
      <c r="M33" s="611" t="str">
        <f>Oktober!C39</f>
        <v>Skema 1</v>
      </c>
      <c r="N33" s="642" t="str">
        <f>Oktober!DN39</f>
        <v/>
      </c>
      <c r="O33" s="612" t="str">
        <f>Aar!L33</f>
        <v/>
      </c>
      <c r="P33" s="82"/>
      <c r="Q33" s="82"/>
      <c r="R33" s="83"/>
      <c r="S33" s="83"/>
      <c r="T33" s="492"/>
      <c r="U33" s="634">
        <f>Aar!Q33</f>
        <v>31</v>
      </c>
      <c r="V33" s="132" t="str">
        <f>Aar!R33</f>
        <v>sø</v>
      </c>
      <c r="W33" s="133" t="str">
        <f>December!C39</f>
        <v>Weekend</v>
      </c>
      <c r="X33" s="641" t="str">
        <f>December!DN39</f>
        <v>Nytårsaftensdag</v>
      </c>
      <c r="Y33" s="637" t="str">
        <f>Aar!T33</f>
        <v/>
      </c>
      <c r="Z33" s="634">
        <f>Aar!U33</f>
        <v>31</v>
      </c>
      <c r="AA33" s="132" t="str">
        <f>Aar!V33</f>
        <v>on</v>
      </c>
      <c r="AB33" s="133" t="str">
        <f>Januar!C39</f>
        <v>Skema 1</v>
      </c>
      <c r="AC33" s="641" t="str">
        <f>Januar!DN39</f>
        <v/>
      </c>
      <c r="AD33" s="637" t="str">
        <f>Aar!X33</f>
        <v/>
      </c>
    </row>
    <row r="34" spans="1:30" ht="23" customHeight="1" thickBot="1">
      <c r="A34" s="74"/>
      <c r="B34" s="74"/>
      <c r="C34" s="74">
        <f>Aar!B34</f>
        <v>23</v>
      </c>
      <c r="D34" s="74" t="str">
        <f>Aar!C34</f>
        <v xml:space="preserve"> arbejdsdage</v>
      </c>
      <c r="E34" s="74"/>
      <c r="F34" s="74"/>
      <c r="G34" s="74"/>
      <c r="H34" s="74">
        <f>Aar!F34</f>
        <v>21</v>
      </c>
      <c r="I34" s="74" t="str">
        <f>Aar!G34</f>
        <v xml:space="preserve"> arbejdsdage</v>
      </c>
      <c r="J34" s="74">
        <f>Aar!H34</f>
        <v>0</v>
      </c>
      <c r="K34" s="74">
        <f>Aar!I34</f>
        <v>0</v>
      </c>
      <c r="L34" s="74"/>
      <c r="M34" s="74">
        <f>Aar!J34</f>
        <v>22</v>
      </c>
      <c r="N34" s="74" t="str">
        <f>Aar!K34</f>
        <v xml:space="preserve"> arbejdsdage</v>
      </c>
      <c r="O34" s="74">
        <f>Aar!M34</f>
        <v>0</v>
      </c>
      <c r="P34" s="74"/>
      <c r="Q34" s="74"/>
      <c r="R34" s="74">
        <f>Aar!N34</f>
        <v>22</v>
      </c>
      <c r="S34" s="74" t="str">
        <f>Aar!O34</f>
        <v xml:space="preserve"> arbejdsdage</v>
      </c>
      <c r="T34" s="74"/>
      <c r="U34" s="74"/>
      <c r="V34" s="74"/>
      <c r="W34" s="74">
        <f>Aar!R34</f>
        <v>19</v>
      </c>
      <c r="X34" s="74" t="str">
        <f>Aar!S34</f>
        <v xml:space="preserve"> arbejdsdage</v>
      </c>
      <c r="Y34" s="74"/>
      <c r="Z34" s="114"/>
      <c r="AA34" s="114"/>
      <c r="AB34" s="74">
        <f>Aar!V34</f>
        <v>22</v>
      </c>
      <c r="AC34" s="74" t="str">
        <f>Aar!W34</f>
        <v xml:space="preserve"> arbejdsdage</v>
      </c>
      <c r="AD34" s="113"/>
    </row>
    <row r="35" spans="1:30" ht="31" customHeight="1" thickBot="1">
      <c r="A35" s="1305" t="str">
        <f>"I alt for hele skoleåret "&amp;Vejledning!B2&amp;""</f>
        <v>I alt for hele skoleåret 2023-2024</v>
      </c>
      <c r="B35" s="1306"/>
      <c r="C35" s="1306"/>
      <c r="D35" s="1306"/>
      <c r="E35" s="1306"/>
      <c r="F35" s="1306"/>
      <c r="G35" s="1306"/>
      <c r="H35" s="1306"/>
      <c r="I35" s="1306"/>
      <c r="J35" s="1306"/>
      <c r="K35" s="1306"/>
      <c r="L35" s="1306"/>
      <c r="M35" s="1306"/>
      <c r="N35" s="1306"/>
      <c r="O35" s="1306"/>
      <c r="P35" s="1306"/>
      <c r="Q35" s="1306"/>
      <c r="R35" s="1306"/>
      <c r="S35" s="1306"/>
      <c r="T35" s="1306"/>
      <c r="U35" s="1307"/>
      <c r="V35" s="120"/>
      <c r="W35" s="121"/>
      <c r="X35" s="117"/>
      <c r="Y35" s="74"/>
      <c r="Z35" s="114"/>
      <c r="AA35" s="114"/>
      <c r="AB35" s="74"/>
      <c r="AC35" s="74"/>
      <c r="AD35" s="113"/>
    </row>
    <row r="36" spans="1:30" ht="23" customHeight="1">
      <c r="A36" s="1308" t="s">
        <v>119</v>
      </c>
      <c r="B36" s="1309"/>
      <c r="C36" s="1309"/>
      <c r="D36" s="1309"/>
      <c r="E36" s="1309"/>
      <c r="F36" s="1309"/>
      <c r="G36" s="1309"/>
      <c r="H36" s="135">
        <f>Aar!G37</f>
        <v>200</v>
      </c>
      <c r="I36" s="176"/>
      <c r="J36" s="176"/>
      <c r="K36" s="176"/>
      <c r="L36" s="176"/>
      <c r="M36" s="176"/>
      <c r="N36" s="1310" t="s">
        <v>118</v>
      </c>
      <c r="O36" s="1311"/>
      <c r="P36" s="1311"/>
      <c r="Q36" s="1311"/>
      <c r="R36" s="1311"/>
      <c r="S36" s="1311"/>
      <c r="T36" s="1311"/>
      <c r="U36" s="175">
        <f>Aar!AE37</f>
        <v>0</v>
      </c>
      <c r="V36" s="118"/>
      <c r="W36" s="74"/>
      <c r="X36" s="114"/>
      <c r="Y36" s="114"/>
      <c r="Z36" s="74"/>
      <c r="AA36" s="74"/>
      <c r="AB36" s="113"/>
      <c r="AC36" s="66"/>
      <c r="AD36" s="66"/>
    </row>
    <row r="37" spans="1:30" ht="23" customHeight="1">
      <c r="A37" s="1312" t="s">
        <v>117</v>
      </c>
      <c r="B37" s="1313"/>
      <c r="C37" s="1313"/>
      <c r="D37" s="1313"/>
      <c r="E37" s="1313"/>
      <c r="F37" s="1313"/>
      <c r="G37" s="1313"/>
      <c r="H37" s="172">
        <f>Aar!O37</f>
        <v>0</v>
      </c>
      <c r="I37" s="177"/>
      <c r="J37" s="177"/>
      <c r="K37" s="177"/>
      <c r="L37" s="177"/>
      <c r="M37" s="177"/>
      <c r="N37" s="179" t="s">
        <v>144</v>
      </c>
      <c r="O37" s="1320">
        <f>Aar!O35</f>
        <v>104</v>
      </c>
      <c r="P37" s="1320"/>
      <c r="Q37" s="1320"/>
      <c r="R37" s="171" t="s">
        <v>145</v>
      </c>
      <c r="S37" s="171"/>
      <c r="T37" s="1316">
        <f>Aar!W35</f>
        <v>8</v>
      </c>
      <c r="U37" s="1317"/>
      <c r="V37" s="118"/>
      <c r="W37" s="74"/>
      <c r="X37" s="114"/>
      <c r="Y37" s="114"/>
      <c r="Z37" s="74"/>
      <c r="AA37" s="74"/>
      <c r="AB37" s="113"/>
      <c r="AC37" s="66"/>
      <c r="AD37" s="66"/>
    </row>
    <row r="38" spans="1:30" ht="23" customHeight="1">
      <c r="A38" s="1314" t="s">
        <v>122</v>
      </c>
      <c r="B38" s="1315"/>
      <c r="C38" s="1315"/>
      <c r="D38" s="1315"/>
      <c r="E38" s="1315"/>
      <c r="F38" s="1315"/>
      <c r="G38" s="1315"/>
      <c r="H38" s="173">
        <f>Aar!W37</f>
        <v>0</v>
      </c>
      <c r="I38" s="177"/>
      <c r="J38" s="177"/>
      <c r="K38" s="177"/>
      <c r="L38" s="177"/>
      <c r="M38" s="177"/>
      <c r="N38" s="187" t="s">
        <v>164</v>
      </c>
      <c r="O38" s="1318">
        <f>Aar!AE35</f>
        <v>25</v>
      </c>
      <c r="P38" s="1318"/>
      <c r="Q38" s="1319"/>
      <c r="R38" s="185" t="s">
        <v>165</v>
      </c>
      <c r="S38" s="185"/>
      <c r="T38" s="185"/>
      <c r="U38" s="493">
        <f>Aar!AV35</f>
        <v>0</v>
      </c>
      <c r="V38" s="119"/>
      <c r="W38" s="74"/>
      <c r="X38" s="114"/>
      <c r="Y38" s="114"/>
      <c r="Z38" s="74"/>
      <c r="AA38" s="74"/>
      <c r="AB38" s="113"/>
      <c r="AC38" s="66"/>
      <c r="AD38" s="66"/>
    </row>
    <row r="39" spans="1:30" ht="23" customHeight="1" thickBot="1">
      <c r="A39" s="169" t="s">
        <v>152</v>
      </c>
      <c r="B39" s="170"/>
      <c r="C39" s="170"/>
      <c r="D39" s="170"/>
      <c r="E39" s="170"/>
      <c r="F39" s="170"/>
      <c r="G39" s="170"/>
      <c r="H39" s="174">
        <f>SUM(H36:H38)</f>
        <v>200</v>
      </c>
      <c r="I39" s="178"/>
      <c r="J39" s="178"/>
      <c r="K39" s="178"/>
      <c r="L39" s="178"/>
      <c r="M39" s="178"/>
      <c r="N39" s="497" t="s">
        <v>169</v>
      </c>
      <c r="O39" s="498"/>
      <c r="P39" s="498"/>
      <c r="Q39" s="498">
        <f>Aar!AM35</f>
        <v>29</v>
      </c>
      <c r="R39" s="495" t="s">
        <v>448</v>
      </c>
      <c r="S39" s="495"/>
      <c r="T39" s="495"/>
      <c r="U39" s="496">
        <f>Aar!AV37</f>
        <v>0</v>
      </c>
      <c r="V39" s="118"/>
      <c r="W39" s="74"/>
      <c r="X39" s="114"/>
      <c r="Y39" s="114"/>
      <c r="Z39" s="74"/>
      <c r="AA39" s="74"/>
      <c r="AB39" s="113"/>
      <c r="AC39" s="66"/>
      <c r="AD39" s="66"/>
    </row>
    <row r="40" spans="1:30" ht="15" customHeight="1">
      <c r="B40" s="79"/>
      <c r="C40" s="77"/>
      <c r="D40" s="77"/>
      <c r="E40" s="78"/>
      <c r="G40" s="79"/>
      <c r="H40" s="77"/>
      <c r="I40" s="77"/>
      <c r="J40" s="80"/>
      <c r="K40" s="79"/>
      <c r="L40" s="77"/>
      <c r="M40" s="78"/>
      <c r="N40" s="78"/>
      <c r="O40" s="78"/>
      <c r="P40" s="79"/>
      <c r="Q40" s="77"/>
      <c r="R40" s="80"/>
      <c r="S40" s="80"/>
      <c r="T40" s="79"/>
      <c r="U40" s="77"/>
      <c r="W40" s="78"/>
      <c r="X40" s="78"/>
      <c r="Y40" s="79"/>
      <c r="Z40" s="77"/>
      <c r="AA40" s="66"/>
      <c r="AB40" s="66"/>
      <c r="AC40" s="66"/>
      <c r="AD40" s="66"/>
    </row>
    <row r="41" spans="1:30" ht="15" customHeight="1"/>
  </sheetData>
  <sheetProtection sheet="1" formatCells="0" formatColumns="0" formatRows="0" insertColumns="0"/>
  <mergeCells count="8">
    <mergeCell ref="A35:U35"/>
    <mergeCell ref="A36:G36"/>
    <mergeCell ref="N36:T36"/>
    <mergeCell ref="A37:G37"/>
    <mergeCell ref="A38:G38"/>
    <mergeCell ref="T37:U37"/>
    <mergeCell ref="O38:Q38"/>
    <mergeCell ref="O37:Q37"/>
  </mergeCells>
  <phoneticPr fontId="5" type="noConversion"/>
  <printOptions horizontalCentered="1" verticalCentered="1"/>
  <pageMargins left="0.35433070866141736" right="0.35433070866141736" top="0.39370078740157483" bottom="0.39370078740157483" header="0.11811023622047245" footer="0.11811023622047245"/>
  <pageSetup paperSize="9" scale="44" orientation="landscape" horizontalDpi="4294967292" verticalDpi="4294967292"/>
  <ignoredErrors>
    <ignoredError sqref="A2:AD2 F33:J33 P33:T33 B1:AD1"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111" stopIfTrue="1" id="{7E088C76-2C1B-4A4B-B72F-8E38A511E840}">
            <xm:f>OR(August!$C10="Orlov")</xm:f>
            <x14:dxf>
              <font>
                <color theme="0"/>
              </font>
              <fill>
                <patternFill patternType="solid">
                  <bgColor theme="6" tint="-0.24994659260841701"/>
                </patternFill>
              </fill>
            </x14:dxf>
          </x14:cfRule>
          <x14:cfRule type="expression" priority="110" id="{3D435629-D562-1843-BC8C-C49FD76A418A}">
            <xm:f>OR(August!$C10="weekend")</xm:f>
            <x14:dxf>
              <font>
                <color theme="1"/>
              </font>
              <fill>
                <patternFill>
                  <bgColor theme="0" tint="-0.14996795556505021"/>
                </patternFill>
              </fill>
            </x14:dxf>
          </x14:cfRule>
          <x14:cfRule type="expression" priority="109" id="{BDDE1528-B4C8-F547-9572-1788BDC0DBD0}">
            <xm:f>OR(August!$C10="feriedag")</xm:f>
            <x14:dxf>
              <font>
                <color theme="1"/>
              </font>
              <fill>
                <patternFill>
                  <bgColor theme="6" tint="0.39994506668294322"/>
                </patternFill>
              </fill>
            </x14:dxf>
          </x14:cfRule>
          <x14:cfRule type="expression" priority="108" id="{723F6421-6944-B64B-9A9F-457A9003CABE}">
            <xm:f>OR(August!$C10="fagdag")</xm:f>
            <x14:dxf>
              <font>
                <color theme="1"/>
              </font>
              <fill>
                <patternFill>
                  <bgColor theme="9" tint="0.59996337778862885"/>
                </patternFill>
              </fill>
            </x14:dxf>
          </x14:cfRule>
          <x14:cfRule type="expression" priority="107" id="{BED33284-DDF4-564F-A68F-1D8DD9E13F5F}">
            <xm:f>OR(August!$C10="emnedag")</xm:f>
            <x14:dxf>
              <font>
                <color theme="1"/>
              </font>
              <fill>
                <patternFill>
                  <bgColor theme="5" tint="0.59996337778862885"/>
                </patternFill>
              </fill>
            </x14:dxf>
          </x14:cfRule>
          <x14:cfRule type="expression" priority="106" id="{B3976725-7BC8-274D-A17A-06C54196C59B}">
            <xm:f>OR(August!$C10="lejrskole")</xm:f>
            <x14:dxf>
              <font>
                <color theme="1"/>
              </font>
              <fill>
                <patternFill>
                  <bgColor theme="8" tint="0.59996337778862885"/>
                </patternFill>
              </fill>
            </x14:dxf>
          </x14:cfRule>
          <x14:cfRule type="expression" priority="105" id="{56138BA0-8BE0-4047-9775-0C98271CE80A}">
            <xm:f>OR(August!$C10="ekskursion")</xm:f>
            <x14:dxf>
              <font>
                <color theme="1"/>
              </font>
              <fill>
                <patternFill>
                  <bgColor rgb="FFFFFF00"/>
                </patternFill>
              </fill>
            </x14:dxf>
          </x14:cfRule>
          <x14:cfRule type="expression" priority="104" id="{C726354F-05C3-9C43-946C-A3FB6A43F70E}">
            <xm:f>OR(August!$C10="SH-dag")</xm:f>
            <x14:dxf>
              <font>
                <color theme="1"/>
              </font>
              <fill>
                <patternFill>
                  <bgColor rgb="FFFF2F82"/>
                </patternFill>
              </fill>
            </x14:dxf>
          </x14:cfRule>
          <x14:cfRule type="expression" priority="31" id="{AF9AE05E-3605-5E4C-893C-6819AB1EE948}">
            <xm:f>OR(August!$C10="Ikke relevant")</xm:f>
            <x14:dxf>
              <font>
                <color theme="0"/>
              </font>
              <fill>
                <patternFill>
                  <bgColor theme="1"/>
                </patternFill>
              </fill>
            </x14:dxf>
          </x14:cfRule>
          <x14:cfRule type="expression" priority="102" id="{B78C599E-77F1-D644-9FE9-ABD5FC8F382C}">
            <xm:f>OR(August!$C10="pæd.dag")</xm:f>
            <x14:dxf>
              <font>
                <color theme="1"/>
              </font>
              <fill>
                <patternFill>
                  <bgColor theme="7" tint="0.39994506668294322"/>
                </patternFill>
              </fill>
            </x14:dxf>
          </x14:cfRule>
          <x14:cfRule type="expression" priority="103" id="{CDFF70CE-D945-F741-ADF6-03C1B6832B46}">
            <xm:f>OR(August!$C10="nul-dag")</xm:f>
            <x14:dxf>
              <font>
                <color theme="1"/>
              </font>
              <fill>
                <patternFill>
                  <bgColor theme="5" tint="0.79998168889431442"/>
                </patternFill>
              </fill>
            </x14:dxf>
          </x14:cfRule>
          <x14:cfRule type="expression" priority="25" id="{347B9104-5EB7-AA4F-9364-620AC86FE217}">
            <xm:f>OR(August!$C10="Skema 4")</xm:f>
            <x14:dxf>
              <font>
                <color theme="0"/>
              </font>
              <fill>
                <patternFill>
                  <bgColor theme="4" tint="-0.24994659260841701"/>
                </patternFill>
              </fill>
            </x14:dxf>
          </x14:cfRule>
          <x14:cfRule type="expression" priority="24" id="{268CA7B4-52BE-1443-93BC-121DA8356B11}">
            <xm:f>OR(August!$C10="Skema 3")</xm:f>
            <x14:dxf>
              <font>
                <color theme="0"/>
              </font>
              <fill>
                <patternFill>
                  <bgColor theme="4" tint="0.39994506668294322"/>
                </patternFill>
              </fill>
            </x14:dxf>
          </x14:cfRule>
          <x14:cfRule type="expression" priority="23" id="{A1951D69-4ADB-3047-8B42-4A5141429C7B}">
            <xm:f>OR(August!$C10="Skema 2")</xm:f>
            <x14:dxf>
              <font>
                <color theme="1"/>
              </font>
              <fill>
                <patternFill>
                  <bgColor theme="4" tint="0.59996337778862885"/>
                </patternFill>
              </fill>
            </x14:dxf>
          </x14:cfRule>
          <x14:cfRule type="expression" priority="22" id="{BCD76501-B6F8-B74D-98D4-F3CE391F978C}">
            <xm:f>OR(August!$C10="Skema 1")</xm:f>
            <x14:dxf>
              <font>
                <color theme="1"/>
              </font>
              <fill>
                <patternFill>
                  <bgColor theme="4" tint="0.79998168889431442"/>
                </patternFill>
              </fill>
            </x14:dxf>
          </x14:cfRule>
          <xm:sqref>A3:E33</xm:sqref>
        </x14:conditionalFormatting>
        <x14:conditionalFormatting xmlns:xm="http://schemas.microsoft.com/office/excel/2006/main">
          <x14:cfRule type="expression" priority="101" stopIfTrue="1" id="{FE91662E-4ED5-BC4E-9D99-6C70386FD5E4}">
            <xm:f>OR(September!$C9="Orlov")</xm:f>
            <x14:dxf>
              <font>
                <color theme="0"/>
              </font>
              <fill>
                <patternFill patternType="solid">
                  <bgColor theme="6" tint="-0.24994659260841701"/>
                </patternFill>
              </fill>
            </x14:dxf>
          </x14:cfRule>
          <x14:cfRule type="expression" priority="18" id="{A6A54F67-DB22-AB42-B807-1E094C48D97A}">
            <xm:f>OR(September!$C9="Skema 1")</xm:f>
            <x14:dxf>
              <font>
                <color theme="1"/>
              </font>
              <fill>
                <patternFill>
                  <bgColor theme="4" tint="0.79998168889431442"/>
                </patternFill>
              </fill>
            </x14:dxf>
          </x14:cfRule>
          <x14:cfRule type="expression" priority="19" id="{B8481A31-E298-9A4F-9913-506735F80059}">
            <xm:f>OR(September!$C9="Skema 2")</xm:f>
            <x14:dxf>
              <font>
                <color theme="1"/>
              </font>
              <fill>
                <patternFill>
                  <bgColor theme="4" tint="0.59996337778862885"/>
                </patternFill>
              </fill>
            </x14:dxf>
          </x14:cfRule>
          <x14:cfRule type="expression" priority="20" id="{2728A726-CE9E-574C-B3B3-5E1EDD834DDC}">
            <xm:f>OR(September!$C9="Skema 3")</xm:f>
            <x14:dxf>
              <font>
                <color theme="0"/>
              </font>
              <fill>
                <patternFill>
                  <bgColor theme="4" tint="0.39994506668294322"/>
                </patternFill>
              </fill>
            </x14:dxf>
          </x14:cfRule>
          <x14:cfRule type="expression" priority="21" id="{F8AFD9B1-8EEB-C144-83EB-300D51E1A14D}">
            <xm:f>OR(September!$C9="Skema 4")</xm:f>
            <x14:dxf>
              <font>
                <color theme="0"/>
              </font>
              <fill>
                <patternFill>
                  <bgColor theme="4" tint="-0.24994659260841701"/>
                </patternFill>
              </fill>
            </x14:dxf>
          </x14:cfRule>
          <x14:cfRule type="expression" priority="82" id="{DEF77C88-BD3C-6A45-8EEB-7A961DF3A37E}">
            <xm:f>OR(September!$C9="pæd.dag")</xm:f>
            <x14:dxf>
              <font>
                <color theme="1"/>
              </font>
              <fill>
                <patternFill>
                  <bgColor theme="7" tint="0.39994506668294322"/>
                </patternFill>
              </fill>
            </x14:dxf>
          </x14:cfRule>
          <x14:cfRule type="expression" priority="83" id="{DB8C7910-6163-4B4D-9819-AFD0627DBD4D}">
            <xm:f>OR(September!$C9="nul-dag")</xm:f>
            <x14:dxf>
              <font>
                <color theme="1"/>
              </font>
              <fill>
                <patternFill>
                  <bgColor theme="5" tint="0.79998168889431442"/>
                </patternFill>
              </fill>
            </x14:dxf>
          </x14:cfRule>
          <x14:cfRule type="expression" priority="84" id="{D026F715-A777-1349-B41E-F963FD6F7EA9}">
            <xm:f>OR(September!$C9="SH-dag")</xm:f>
            <x14:dxf>
              <font>
                <color theme="1"/>
              </font>
              <fill>
                <patternFill>
                  <bgColor rgb="FFFF2F82"/>
                </patternFill>
              </fill>
            </x14:dxf>
          </x14:cfRule>
          <x14:cfRule type="expression" priority="85" id="{EEADB28C-23C5-7D4E-B286-683226DD38E4}">
            <xm:f>OR(September!$C9="ekskursion")</xm:f>
            <x14:dxf>
              <font>
                <color theme="1"/>
              </font>
              <fill>
                <patternFill>
                  <bgColor rgb="FFFFFF00"/>
                </patternFill>
              </fill>
            </x14:dxf>
          </x14:cfRule>
          <x14:cfRule type="expression" priority="86" id="{6D234B6D-EBA5-3540-99F2-50B173C63F8E}">
            <xm:f>OR(September!$C9="lejrskole")</xm:f>
            <x14:dxf>
              <font>
                <color theme="1"/>
              </font>
              <fill>
                <patternFill>
                  <bgColor theme="8" tint="0.59996337778862885"/>
                </patternFill>
              </fill>
            </x14:dxf>
          </x14:cfRule>
          <x14:cfRule type="expression" priority="97" id="{A8990905-205C-FF44-8F8F-FEFDE39B50C0}">
            <xm:f>OR(September!$C9="emnedag")</xm:f>
            <x14:dxf>
              <font>
                <color theme="1"/>
              </font>
              <fill>
                <patternFill>
                  <bgColor theme="5" tint="0.59996337778862885"/>
                </patternFill>
              </fill>
            </x14:dxf>
          </x14:cfRule>
          <x14:cfRule type="expression" priority="98" id="{7078B40A-5F8B-4143-80AA-1AEA7E8FB8A5}">
            <xm:f>OR(September!$C9="fagdag")</xm:f>
            <x14:dxf>
              <font>
                <color theme="1"/>
              </font>
              <fill>
                <patternFill>
                  <bgColor theme="9" tint="0.59996337778862885"/>
                </patternFill>
              </fill>
            </x14:dxf>
          </x14:cfRule>
          <x14:cfRule type="expression" priority="99" id="{3AFDEDB1-87B0-3F45-9813-D01DCEBC4125}">
            <xm:f>OR(September!$C9="feriedag")</xm:f>
            <x14:dxf>
              <font>
                <color theme="1"/>
              </font>
              <fill>
                <patternFill>
                  <bgColor theme="6" tint="0.39994506668294322"/>
                </patternFill>
              </fill>
            </x14:dxf>
          </x14:cfRule>
          <x14:cfRule type="expression" priority="30" id="{ED26B2E1-0B14-3C45-AF63-E47A1587C77B}">
            <xm:f>OR(September!$C9="Ikke relevant")</xm:f>
            <x14:dxf>
              <font>
                <color theme="0"/>
              </font>
              <fill>
                <patternFill>
                  <bgColor theme="1"/>
                </patternFill>
              </fill>
            </x14:dxf>
          </x14:cfRule>
          <x14:cfRule type="expression" priority="100" id="{F83E5E55-9C4E-3C4E-BD25-E6F58D8EC187}">
            <xm:f>OR(September!$C9="weekend")</xm:f>
            <x14:dxf>
              <font>
                <color theme="1"/>
              </font>
              <fill>
                <patternFill>
                  <bgColor theme="0" tint="-0.14996795556505021"/>
                </patternFill>
              </fill>
            </x14:dxf>
          </x14:cfRule>
          <xm:sqref>F3:J32</xm:sqref>
        </x14:conditionalFormatting>
        <x14:conditionalFormatting xmlns:xm="http://schemas.microsoft.com/office/excel/2006/main">
          <x14:cfRule type="expression" priority="17" id="{61858BDA-AF1E-DA4B-A664-06BA7B26C092}">
            <xm:f>OR(Oktober!$C9="Skema 4")</xm:f>
            <x14:dxf>
              <font>
                <color theme="0"/>
              </font>
              <fill>
                <patternFill>
                  <bgColor theme="4" tint="-0.24994659260841701"/>
                </patternFill>
              </fill>
            </x14:dxf>
          </x14:cfRule>
          <x14:cfRule type="expression" priority="62" id="{B6C307A1-5DEC-0B42-8D75-84080930A7A4}">
            <xm:f>OR(Oktober!$C9="pæd.dag")</xm:f>
            <x14:dxf>
              <font>
                <color theme="1"/>
              </font>
              <fill>
                <patternFill>
                  <bgColor theme="7" tint="0.39994506668294322"/>
                </patternFill>
              </fill>
            </x14:dxf>
          </x14:cfRule>
          <x14:cfRule type="expression" priority="29" id="{81C04EAD-82C5-6845-A88A-C40691238A86}">
            <xm:f>OR(Oktober!$C9="Ikke relevant")</xm:f>
            <x14:dxf>
              <font>
                <color theme="0"/>
              </font>
              <fill>
                <patternFill>
                  <bgColor theme="1"/>
                </patternFill>
              </fill>
            </x14:dxf>
          </x14:cfRule>
          <x14:cfRule type="expression" priority="63" id="{6A855BD0-BA5F-C34B-B9C3-B5D46D20C054}">
            <xm:f>OR(Oktober!$C9="nul-dag")</xm:f>
            <x14:dxf>
              <font>
                <color theme="1"/>
              </font>
              <fill>
                <patternFill>
                  <bgColor theme="5" tint="0.79998168889431442"/>
                </patternFill>
              </fill>
            </x14:dxf>
          </x14:cfRule>
          <x14:cfRule type="expression" priority="64" id="{8AD9A72B-B3A5-4A45-9A4B-A2CCEEAA5CCB}">
            <xm:f>OR(Oktober!$C9="SH-dag")</xm:f>
            <x14:dxf>
              <font>
                <color theme="1"/>
              </font>
              <fill>
                <patternFill>
                  <bgColor rgb="FFFF2F82"/>
                </patternFill>
              </fill>
            </x14:dxf>
          </x14:cfRule>
          <x14:cfRule type="expression" priority="65" id="{37B2E358-D61F-4D4A-83D5-A34D1F5B5CFD}">
            <xm:f>OR(Oktober!$C9="ekskursion")</xm:f>
            <x14:dxf>
              <font>
                <color theme="1"/>
              </font>
              <fill>
                <patternFill>
                  <bgColor rgb="FFFFFF00"/>
                </patternFill>
              </fill>
            </x14:dxf>
          </x14:cfRule>
          <x14:cfRule type="expression" priority="66" id="{D8C38FF2-1905-C041-B360-E398BC807807}">
            <xm:f>OR(Oktober!$C9="lejrskole")</xm:f>
            <x14:dxf>
              <font>
                <color theme="1"/>
              </font>
              <fill>
                <patternFill>
                  <bgColor theme="8" tint="0.59996337778862885"/>
                </patternFill>
              </fill>
            </x14:dxf>
          </x14:cfRule>
          <x14:cfRule type="expression" priority="14" id="{4FEE00F1-A8EB-3D44-BE99-A45100690B53}">
            <xm:f>OR(Oktober!$C9="Skema 1")</xm:f>
            <x14:dxf>
              <font>
                <color theme="1"/>
              </font>
              <fill>
                <patternFill>
                  <bgColor theme="4" tint="0.79998168889431442"/>
                </patternFill>
              </fill>
            </x14:dxf>
          </x14:cfRule>
          <x14:cfRule type="expression" priority="15" id="{5251657E-5CB4-4F45-8A5D-CC0704DBE973}">
            <xm:f>OR(Oktober!$C9="Skema 2")</xm:f>
            <x14:dxf>
              <font>
                <color theme="1"/>
              </font>
              <fill>
                <patternFill>
                  <bgColor theme="4" tint="0.59996337778862885"/>
                </patternFill>
              </fill>
            </x14:dxf>
          </x14:cfRule>
          <x14:cfRule type="expression" priority="16" id="{1D690458-503E-EF45-9F3E-B7EFCD794C90}">
            <xm:f>OR(Oktober!$C9="Skema 3")</xm:f>
            <x14:dxf>
              <font>
                <color theme="0"/>
              </font>
              <fill>
                <patternFill>
                  <bgColor theme="4" tint="0.39994506668294322"/>
                </patternFill>
              </fill>
            </x14:dxf>
          </x14:cfRule>
          <x14:cfRule type="expression" priority="71" stopIfTrue="1" id="{21A4F459-3DCB-D341-934C-B6DE5F98A19C}">
            <xm:f>OR(Oktober!$C9="Orlov")</xm:f>
            <x14:dxf>
              <font>
                <color theme="0"/>
              </font>
              <fill>
                <patternFill patternType="solid">
                  <bgColor theme="6" tint="-0.24994659260841701"/>
                </patternFill>
              </fill>
            </x14:dxf>
          </x14:cfRule>
          <x14:cfRule type="expression" priority="70" id="{B23AAC2D-795E-5B49-BBFA-D2542B158A75}">
            <xm:f>OR(Oktober!$C9="weekend")</xm:f>
            <x14:dxf>
              <font>
                <color theme="1"/>
              </font>
              <fill>
                <patternFill>
                  <bgColor theme="0" tint="-0.14996795556505021"/>
                </patternFill>
              </fill>
            </x14:dxf>
          </x14:cfRule>
          <x14:cfRule type="expression" priority="69" id="{92238027-AC6B-5740-8C00-B99B2AA7D005}">
            <xm:f>OR(Oktober!$C9="feriedag")</xm:f>
            <x14:dxf>
              <font>
                <color theme="1"/>
              </font>
              <fill>
                <patternFill>
                  <bgColor theme="6" tint="0.39994506668294322"/>
                </patternFill>
              </fill>
            </x14:dxf>
          </x14:cfRule>
          <x14:cfRule type="expression" priority="68" id="{0C13C227-FB10-F94F-A80B-B1E19DFE6F84}">
            <xm:f>OR(Oktober!$C9="fagdag")</xm:f>
            <x14:dxf>
              <font>
                <color theme="1"/>
              </font>
              <fill>
                <patternFill>
                  <bgColor theme="9" tint="0.59996337778862885"/>
                </patternFill>
              </fill>
            </x14:dxf>
          </x14:cfRule>
          <x14:cfRule type="expression" priority="67" id="{709B2BB9-B1AA-814F-A84B-19E766EE7C43}">
            <xm:f>OR(Oktober!$C9="emnedag")</xm:f>
            <x14:dxf>
              <font>
                <color theme="1"/>
              </font>
              <fill>
                <patternFill>
                  <bgColor theme="5" tint="0.59996337778862885"/>
                </patternFill>
              </fill>
            </x14:dxf>
          </x14:cfRule>
          <xm:sqref>K3:O33</xm:sqref>
        </x14:conditionalFormatting>
        <x14:conditionalFormatting xmlns:xm="http://schemas.microsoft.com/office/excel/2006/main">
          <x14:cfRule type="expression" priority="13" id="{DD61B19E-8B3C-EF49-802C-8FD3F32076CA}">
            <xm:f>OR(November!$C9="Skema 4")</xm:f>
            <x14:dxf>
              <font>
                <color theme="0"/>
              </font>
              <fill>
                <patternFill>
                  <bgColor theme="4" tint="-0.24994659260841701"/>
                </patternFill>
              </fill>
            </x14:dxf>
          </x14:cfRule>
          <x14:cfRule type="expression" priority="12" id="{969B370B-0733-C84C-A898-E17064F14700}">
            <xm:f>OR(November!$C9="Skema 3")</xm:f>
            <x14:dxf>
              <font>
                <color theme="0"/>
              </font>
              <fill>
                <patternFill>
                  <bgColor theme="4" tint="0.39994506668294322"/>
                </patternFill>
              </fill>
            </x14:dxf>
          </x14:cfRule>
          <x14:cfRule type="expression" priority="11" id="{C39CFCCE-590E-594E-8C8F-DDAEEAB6361A}">
            <xm:f>OR(November!$C9="Skema 2")</xm:f>
            <x14:dxf>
              <font>
                <color theme="1"/>
              </font>
              <fill>
                <patternFill>
                  <bgColor theme="4" tint="0.59996337778862885"/>
                </patternFill>
              </fill>
            </x14:dxf>
          </x14:cfRule>
          <x14:cfRule type="expression" priority="28" id="{A170BAD0-3D79-FB41-B5D8-84995AE84347}">
            <xm:f>OR(November!$C9="Ikke relevant")</xm:f>
            <x14:dxf>
              <font>
                <color theme="0"/>
              </font>
              <fill>
                <patternFill>
                  <bgColor theme="1"/>
                </patternFill>
              </fill>
            </x14:dxf>
          </x14:cfRule>
          <x14:cfRule type="expression" priority="10" id="{317FFB8E-3019-7141-B243-77D777EC5A65}">
            <xm:f>OR(November!$C9="Skema 1")</xm:f>
            <x14:dxf>
              <font>
                <color theme="1"/>
              </font>
              <fill>
                <patternFill>
                  <bgColor theme="4" tint="0.79998168889431442"/>
                </patternFill>
              </fill>
            </x14:dxf>
          </x14:cfRule>
          <x14:cfRule type="expression" priority="52" id="{CED4A093-82D9-C644-B41E-DD3A41825021}">
            <xm:f>OR(November!$C9="pæd.dag")</xm:f>
            <x14:dxf>
              <font>
                <color theme="1"/>
              </font>
              <fill>
                <patternFill>
                  <bgColor theme="7" tint="0.39994506668294322"/>
                </patternFill>
              </fill>
            </x14:dxf>
          </x14:cfRule>
          <x14:cfRule type="expression" priority="53" id="{0E350EAE-BD99-3A46-9436-D482887C3178}">
            <xm:f>OR(November!$C9="nul-dag")</xm:f>
            <x14:dxf>
              <font>
                <color theme="1"/>
              </font>
              <fill>
                <patternFill>
                  <bgColor theme="5" tint="0.79998168889431442"/>
                </patternFill>
              </fill>
            </x14:dxf>
          </x14:cfRule>
          <x14:cfRule type="expression" priority="54" id="{63CD135A-29CA-194D-840C-48CAFE0078F0}">
            <xm:f>OR(November!$C9="SH-dag")</xm:f>
            <x14:dxf>
              <font>
                <color theme="1"/>
              </font>
              <fill>
                <patternFill>
                  <bgColor rgb="FFFF2F82"/>
                </patternFill>
              </fill>
            </x14:dxf>
          </x14:cfRule>
          <x14:cfRule type="expression" priority="55" id="{B2597A19-09A9-1A4F-A327-F393C182067B}">
            <xm:f>OR(November!$C9="ekskursion")</xm:f>
            <x14:dxf>
              <font>
                <color theme="1"/>
              </font>
              <fill>
                <patternFill>
                  <bgColor rgb="FFFFFF00"/>
                </patternFill>
              </fill>
            </x14:dxf>
          </x14:cfRule>
          <x14:cfRule type="expression" priority="56" id="{55362959-AF26-2744-85D8-C7595B5E2976}">
            <xm:f>OR(November!$C9="lejrskole")</xm:f>
            <x14:dxf>
              <font>
                <color theme="1"/>
              </font>
              <fill>
                <patternFill>
                  <bgColor theme="8" tint="0.59996337778862885"/>
                </patternFill>
              </fill>
            </x14:dxf>
          </x14:cfRule>
          <x14:cfRule type="expression" priority="57" id="{3B5C389C-3B05-4E44-A6F5-C3F1A1F27D69}">
            <xm:f>OR(November!$C9="emnedag")</xm:f>
            <x14:dxf>
              <font>
                <color theme="1"/>
              </font>
              <fill>
                <patternFill>
                  <bgColor theme="5" tint="0.59996337778862885"/>
                </patternFill>
              </fill>
            </x14:dxf>
          </x14:cfRule>
          <x14:cfRule type="expression" priority="58" id="{3F74E116-1BCF-674C-ADEA-3F09A8626D16}">
            <xm:f>OR(November!$C9="fagdag")</xm:f>
            <x14:dxf>
              <font>
                <color theme="1"/>
              </font>
              <fill>
                <patternFill>
                  <bgColor theme="9" tint="0.59996337778862885"/>
                </patternFill>
              </fill>
            </x14:dxf>
          </x14:cfRule>
          <x14:cfRule type="expression" priority="59" id="{3748DFC3-871A-A943-A15C-451B4B624013}">
            <xm:f>OR(November!$C9="feriedag")</xm:f>
            <x14:dxf>
              <font>
                <color theme="1"/>
              </font>
              <fill>
                <patternFill>
                  <bgColor theme="6" tint="0.39994506668294322"/>
                </patternFill>
              </fill>
            </x14:dxf>
          </x14:cfRule>
          <x14:cfRule type="expression" priority="60" id="{DCA403BE-4695-E243-9B31-CDE573D32BF5}">
            <xm:f>OR(November!$C9="weekend")</xm:f>
            <x14:dxf>
              <font>
                <color theme="1"/>
              </font>
              <fill>
                <patternFill>
                  <bgColor theme="0" tint="-0.14996795556505021"/>
                </patternFill>
              </fill>
            </x14:dxf>
          </x14:cfRule>
          <x14:cfRule type="expression" priority="61" stopIfTrue="1" id="{24164010-B51D-2D40-ACA9-B60FB02B040C}">
            <xm:f>OR(November!$C9="Orlov")</xm:f>
            <x14:dxf>
              <font>
                <color theme="0"/>
              </font>
              <fill>
                <patternFill patternType="solid">
                  <bgColor theme="6" tint="-0.24994659260841701"/>
                </patternFill>
              </fill>
            </x14:dxf>
          </x14:cfRule>
          <xm:sqref>P3:T32</xm:sqref>
        </x14:conditionalFormatting>
        <x14:conditionalFormatting xmlns:xm="http://schemas.microsoft.com/office/excel/2006/main">
          <x14:cfRule type="expression" priority="51" stopIfTrue="1" id="{D358BCF8-85AC-BA40-A836-B48949AC57B2}">
            <xm:f>OR(December!$C9="Orlov")</xm:f>
            <x14:dxf>
              <font>
                <color theme="0"/>
              </font>
              <fill>
                <patternFill patternType="solid">
                  <bgColor theme="6" tint="-0.24994659260841701"/>
                </patternFill>
              </fill>
            </x14:dxf>
          </x14:cfRule>
          <x14:cfRule type="expression" priority="50" id="{BDCCCECE-18A6-DD4D-8287-DDB782F9579C}">
            <xm:f>OR(December!$C9="weekend")</xm:f>
            <x14:dxf>
              <font>
                <color theme="1"/>
              </font>
              <fill>
                <patternFill>
                  <bgColor theme="0" tint="-0.14996795556505021"/>
                </patternFill>
              </fill>
            </x14:dxf>
          </x14:cfRule>
          <x14:cfRule type="expression" priority="49" id="{3B95DC54-79FB-6E4F-8DC6-A7F8452A83D1}">
            <xm:f>OR(December!$C9="feriedag")</xm:f>
            <x14:dxf>
              <font>
                <color theme="1"/>
              </font>
              <fill>
                <patternFill>
                  <bgColor theme="6" tint="0.39994506668294322"/>
                </patternFill>
              </fill>
            </x14:dxf>
          </x14:cfRule>
          <x14:cfRule type="expression" priority="48" id="{CA67FB30-F316-FD41-AA7D-A3FFA6ACA202}">
            <xm:f>OR(December!$C9="fagdag")</xm:f>
            <x14:dxf>
              <font>
                <color theme="1"/>
              </font>
              <fill>
                <patternFill>
                  <bgColor theme="9" tint="0.59996337778862885"/>
                </patternFill>
              </fill>
            </x14:dxf>
          </x14:cfRule>
          <x14:cfRule type="expression" priority="47" id="{31D0F7ED-008C-A643-9630-E35BCC2D5713}">
            <xm:f>OR(December!$C9="emnedag")</xm:f>
            <x14:dxf>
              <font>
                <color theme="1"/>
              </font>
              <fill>
                <patternFill>
                  <bgColor theme="5" tint="0.59996337778862885"/>
                </patternFill>
              </fill>
            </x14:dxf>
          </x14:cfRule>
          <x14:cfRule type="expression" priority="46" id="{1F34D948-7D51-6C4D-9C12-EA1C00ECAA0D}">
            <xm:f>OR(December!$C9="lejrskole")</xm:f>
            <x14:dxf>
              <font>
                <color theme="1"/>
              </font>
              <fill>
                <patternFill>
                  <bgColor theme="8" tint="0.59996337778862885"/>
                </patternFill>
              </fill>
            </x14:dxf>
          </x14:cfRule>
          <x14:cfRule type="expression" priority="45" id="{42C6D939-E342-794F-8D68-4D2A92B68661}">
            <xm:f>OR(December!$C9="ekskursion")</xm:f>
            <x14:dxf>
              <font>
                <color theme="1"/>
              </font>
              <fill>
                <patternFill>
                  <bgColor rgb="FFFFFF00"/>
                </patternFill>
              </fill>
            </x14:dxf>
          </x14:cfRule>
          <x14:cfRule type="expression" priority="44" id="{95FF3B6C-9C43-8444-AAF4-1564645F2098}">
            <xm:f>OR(December!$C9="SH-dag")</xm:f>
            <x14:dxf>
              <font>
                <color theme="1"/>
              </font>
              <fill>
                <patternFill>
                  <bgColor rgb="FFFF2F82"/>
                </patternFill>
              </fill>
            </x14:dxf>
          </x14:cfRule>
          <x14:cfRule type="expression" priority="43" id="{B713B3FF-E644-6F43-9A39-F213E292C09D}">
            <xm:f>OR(December!$C9="nul-dag")</xm:f>
            <x14:dxf>
              <font>
                <color theme="1"/>
              </font>
              <fill>
                <patternFill>
                  <bgColor theme="5" tint="0.79998168889431442"/>
                </patternFill>
              </fill>
            </x14:dxf>
          </x14:cfRule>
          <x14:cfRule type="expression" priority="42" id="{07ADBFA5-B73D-CF41-95CD-1AFA8C6192DD}">
            <xm:f>OR(December!$C9="pæd.dag")</xm:f>
            <x14:dxf>
              <font>
                <color theme="1"/>
              </font>
              <fill>
                <patternFill>
                  <bgColor theme="7" tint="0.39994506668294322"/>
                </patternFill>
              </fill>
            </x14:dxf>
          </x14:cfRule>
          <x14:cfRule type="expression" priority="6" id="{D7EBA1BC-C9AE-7D4C-B30E-EC1B416868F4}">
            <xm:f>OR(December!$C9="Skema 1")</xm:f>
            <x14:dxf>
              <font>
                <color theme="1"/>
              </font>
              <fill>
                <patternFill>
                  <bgColor theme="4" tint="0.79998168889431442"/>
                </patternFill>
              </fill>
            </x14:dxf>
          </x14:cfRule>
          <x14:cfRule type="expression" priority="7" id="{FD4C3246-21CD-9743-87F3-620C8162FD86}">
            <xm:f>OR(December!$C9="Skema 2")</xm:f>
            <x14:dxf>
              <font>
                <color theme="1"/>
              </font>
              <fill>
                <patternFill>
                  <bgColor theme="4" tint="0.59996337778862885"/>
                </patternFill>
              </fill>
            </x14:dxf>
          </x14:cfRule>
          <x14:cfRule type="expression" priority="8" id="{502BE986-C74F-B04A-8751-28403A9BF494}">
            <xm:f>OR(December!$C9="Skema 3")</xm:f>
            <x14:dxf>
              <font>
                <color theme="0"/>
              </font>
              <fill>
                <patternFill>
                  <bgColor theme="4" tint="0.39994506668294322"/>
                </patternFill>
              </fill>
            </x14:dxf>
          </x14:cfRule>
          <x14:cfRule type="expression" priority="9" id="{BEEEB4A5-6AC8-FE43-9BC2-6A542C8813C9}">
            <xm:f>OR(December!$C9="Skema 4")</xm:f>
            <x14:dxf>
              <font>
                <color theme="0"/>
              </font>
              <fill>
                <patternFill>
                  <bgColor theme="4" tint="-0.24994659260841701"/>
                </patternFill>
              </fill>
            </x14:dxf>
          </x14:cfRule>
          <x14:cfRule type="expression" priority="27" id="{9B0E3D34-4C10-B641-9750-3FD87A54691D}">
            <xm:f>OR(December!$C9="Ikke relevant")</xm:f>
            <x14:dxf>
              <font>
                <color theme="0"/>
              </font>
              <fill>
                <patternFill>
                  <bgColor theme="1"/>
                </patternFill>
              </fill>
            </x14:dxf>
          </x14:cfRule>
          <xm:sqref>U3:Y33</xm:sqref>
        </x14:conditionalFormatting>
        <x14:conditionalFormatting xmlns:xm="http://schemas.microsoft.com/office/excel/2006/main">
          <x14:cfRule type="expression" priority="36" id="{A0D0FAB6-EDC2-F04E-9AA0-AC37C2D8CFA0}">
            <xm:f>OR(Januar!$C9="lejrskole")</xm:f>
            <x14:dxf>
              <font>
                <color theme="1"/>
              </font>
              <fill>
                <patternFill>
                  <bgColor theme="8" tint="0.59996337778862885"/>
                </patternFill>
              </fill>
            </x14:dxf>
          </x14:cfRule>
          <x14:cfRule type="expression" priority="35" id="{0A364475-486F-F548-AA5E-0240AD74B6F5}">
            <xm:f>OR(Januar!$C9="ekskursion")</xm:f>
            <x14:dxf>
              <font>
                <color theme="1"/>
              </font>
              <fill>
                <patternFill>
                  <bgColor rgb="FFFFFF00"/>
                </patternFill>
              </fill>
            </x14:dxf>
          </x14:cfRule>
          <x14:cfRule type="expression" priority="34" id="{59A55BCC-8EC7-6B46-8D8B-F62C6CFA6265}">
            <xm:f>OR(Januar!$C9="SH-dag")</xm:f>
            <x14:dxf>
              <font>
                <color theme="1"/>
              </font>
              <fill>
                <patternFill>
                  <bgColor rgb="FFFF2F82"/>
                </patternFill>
              </fill>
            </x14:dxf>
          </x14:cfRule>
          <x14:cfRule type="expression" priority="33" id="{52D09256-9D97-6546-A35A-A627276E2390}">
            <xm:f>OR(Januar!$C9="nul-dag")</xm:f>
            <x14:dxf>
              <font>
                <color theme="1"/>
              </font>
              <fill>
                <patternFill>
                  <bgColor theme="5" tint="0.79998168889431442"/>
                </patternFill>
              </fill>
            </x14:dxf>
          </x14:cfRule>
          <x14:cfRule type="expression" priority="32" id="{7DE50EC5-7141-694F-940D-A8D18C9104D2}">
            <xm:f>OR(Januar!$C9="pæd.dag")</xm:f>
            <x14:dxf>
              <font>
                <color theme="1"/>
              </font>
              <fill>
                <patternFill>
                  <bgColor theme="7" tint="0.39994506668294322"/>
                </patternFill>
              </fill>
            </x14:dxf>
          </x14:cfRule>
          <x14:cfRule type="expression" priority="37" id="{C3669A06-ECE3-1C4C-8A9E-AC7AB2A13144}">
            <xm:f>OR(Januar!$C9="emnedag")</xm:f>
            <x14:dxf>
              <font>
                <color theme="1"/>
              </font>
              <fill>
                <patternFill>
                  <bgColor theme="5" tint="0.59996337778862885"/>
                </patternFill>
              </fill>
            </x14:dxf>
          </x14:cfRule>
          <x14:cfRule type="expression" priority="26" id="{FDE39F5A-D65C-1344-816C-86CD370A3ECF}">
            <xm:f>OR(Januar!$C9="Ikke relevant")</xm:f>
            <x14:dxf>
              <font>
                <color theme="0"/>
              </font>
              <fill>
                <patternFill>
                  <bgColor theme="1"/>
                </patternFill>
              </fill>
            </x14:dxf>
          </x14:cfRule>
          <x14:cfRule type="expression" priority="38" id="{2A6AFF4D-71BF-5445-99EA-CFA1FD023307}">
            <xm:f>OR(Januar!$C9="fagdag")</xm:f>
            <x14:dxf>
              <font>
                <color theme="1"/>
              </font>
              <fill>
                <patternFill>
                  <bgColor theme="9" tint="0.59996337778862885"/>
                </patternFill>
              </fill>
            </x14:dxf>
          </x14:cfRule>
          <x14:cfRule type="expression" priority="39" id="{D62CD6F0-FB94-BE49-8742-DBB545E12DAE}">
            <xm:f>OR(Januar!$C9="feriedag")</xm:f>
            <x14:dxf>
              <font>
                <color theme="1"/>
              </font>
              <fill>
                <patternFill>
                  <bgColor theme="6" tint="0.39994506668294322"/>
                </patternFill>
              </fill>
            </x14:dxf>
          </x14:cfRule>
          <x14:cfRule type="expression" priority="40" id="{90360773-D299-7A4E-8D20-330CE4CDECBF}">
            <xm:f>OR(Januar!$C9="weekend")</xm:f>
            <x14:dxf>
              <font>
                <color theme="1"/>
              </font>
              <fill>
                <patternFill>
                  <bgColor theme="0" tint="-0.14996795556505021"/>
                </patternFill>
              </fill>
            </x14:dxf>
          </x14:cfRule>
          <x14:cfRule type="expression" priority="41" stopIfTrue="1" id="{84623046-F60B-3C47-9B00-5232AB04FE96}">
            <xm:f>OR(Januar!$C9="Orlov")</xm:f>
            <x14:dxf>
              <font>
                <color theme="0"/>
              </font>
              <fill>
                <patternFill patternType="solid">
                  <bgColor theme="6" tint="-0.24994659260841701"/>
                </patternFill>
              </fill>
            </x14:dxf>
          </x14:cfRule>
          <x14:cfRule type="expression" priority="5" id="{62F71BAE-4588-E24E-A4E5-F0C02F99DE26}">
            <xm:f>OR(Januar!$C9="Skema 4")</xm:f>
            <x14:dxf>
              <font>
                <color theme="0"/>
              </font>
              <fill>
                <patternFill>
                  <bgColor theme="4" tint="-0.24994659260841701"/>
                </patternFill>
              </fill>
            </x14:dxf>
          </x14:cfRule>
          <x14:cfRule type="expression" priority="4" id="{F39B1262-9811-2243-A35C-56E5B44D5636}">
            <xm:f>OR(Januar!$C9="Skema 3")</xm:f>
            <x14:dxf>
              <font>
                <color theme="0"/>
              </font>
              <fill>
                <patternFill>
                  <bgColor theme="4" tint="0.39994506668294322"/>
                </patternFill>
              </fill>
            </x14:dxf>
          </x14:cfRule>
          <x14:cfRule type="expression" priority="3" id="{40A8624D-C4DB-6E47-AA8C-162FE7A3C02E}">
            <xm:f>OR(Januar!$C9="Skema 2")</xm:f>
            <x14:dxf>
              <font>
                <color theme="1"/>
              </font>
              <fill>
                <patternFill>
                  <bgColor theme="4" tint="0.59996337778862885"/>
                </patternFill>
              </fill>
            </x14:dxf>
          </x14:cfRule>
          <x14:cfRule type="expression" priority="2" id="{574FAC8E-B719-8248-AB94-253102EF7EAF}">
            <xm:f>OR(Januar!$C9="Skema 1")</xm:f>
            <x14:dxf>
              <font>
                <color theme="1"/>
              </font>
              <fill>
                <patternFill>
                  <bgColor theme="4" tint="0.79998168889431442"/>
                </patternFill>
              </fill>
            </x14:dxf>
          </x14:cfRule>
          <xm:sqref>Z3:AD33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AD40"/>
  <sheetViews>
    <sheetView showGridLines="0" showZeros="0" topLeftCell="A3" zoomScale="80" zoomScaleNormal="80" zoomScalePageLayoutView="80" workbookViewId="0">
      <selection activeCell="D31" sqref="D31"/>
    </sheetView>
  </sheetViews>
  <sheetFormatPr baseColWidth="10" defaultColWidth="12.5" defaultRowHeight="36" customHeight="1"/>
  <cols>
    <col min="1" max="2" width="4.33203125" style="78" customWidth="1"/>
    <col min="3" max="3" width="7.83203125" style="79" customWidth="1"/>
    <col min="4" max="4" width="20.1640625" style="79" customWidth="1"/>
    <col min="5" max="5" width="3.1640625" style="77" customWidth="1"/>
    <col min="6" max="7" width="4.33203125" style="78" customWidth="1"/>
    <col min="8" max="8" width="8" style="79" customWidth="1"/>
    <col min="9" max="9" width="20.33203125" style="79" customWidth="1"/>
    <col min="10" max="10" width="5" style="77" customWidth="1"/>
    <col min="11" max="12" width="4.33203125" style="78" customWidth="1"/>
    <col min="13" max="13" width="7.83203125" style="79" customWidth="1"/>
    <col min="14" max="14" width="20.1640625" style="79" customWidth="1"/>
    <col min="15" max="15" width="4" style="77" customWidth="1"/>
    <col min="16" max="17" width="4.33203125" style="78" customWidth="1"/>
    <col min="18" max="18" width="7.83203125" style="79" customWidth="1"/>
    <col min="19" max="19" width="20.1640625" style="79" customWidth="1"/>
    <col min="20" max="20" width="4" style="77" customWidth="1"/>
    <col min="21" max="21" width="5.33203125" style="78" customWidth="1"/>
    <col min="22" max="22" width="4.33203125" style="78" customWidth="1"/>
    <col min="23" max="23" width="7.83203125" style="79" customWidth="1"/>
    <col min="24" max="24" width="20.1640625" style="79" customWidth="1"/>
    <col min="25" max="25" width="4" style="77" customWidth="1"/>
    <col min="26" max="27" width="4.33203125" style="78" customWidth="1"/>
    <col min="28" max="28" width="7.83203125" style="79" customWidth="1"/>
    <col min="29" max="29" width="20.1640625" style="79" customWidth="1"/>
    <col min="30" max="30" width="4" style="77" customWidth="1"/>
    <col min="31" max="16384" width="12.5" style="66"/>
  </cols>
  <sheetData>
    <row r="1" spans="1:30" ht="36" customHeight="1">
      <c r="A1" s="655" t="str">
        <f>'1.halvaar'!A1</f>
        <v>Halvårskalender for  vedr. skoleåret 2023-2024</v>
      </c>
      <c r="B1" s="656"/>
      <c r="C1" s="657"/>
      <c r="D1" s="657"/>
      <c r="E1" s="658"/>
      <c r="F1" s="659"/>
      <c r="G1" s="656"/>
      <c r="H1" s="657"/>
      <c r="I1" s="657"/>
      <c r="J1" s="660"/>
      <c r="K1" s="659"/>
      <c r="L1" s="656"/>
      <c r="M1" s="657"/>
      <c r="N1" s="657"/>
      <c r="O1" s="660"/>
      <c r="P1" s="659"/>
      <c r="Q1" s="656"/>
      <c r="R1" s="657"/>
      <c r="S1" s="657"/>
      <c r="T1" s="660"/>
      <c r="U1" s="659"/>
      <c r="V1" s="656"/>
      <c r="W1" s="657"/>
      <c r="X1" s="657"/>
      <c r="Y1" s="660"/>
      <c r="Z1" s="659"/>
      <c r="AA1" s="656"/>
      <c r="AB1" s="657"/>
      <c r="AC1" s="657"/>
      <c r="AD1" s="658"/>
    </row>
    <row r="2" spans="1:30" s="65" customFormat="1" ht="23" customHeight="1">
      <c r="A2" s="649" t="s">
        <v>100</v>
      </c>
      <c r="B2" s="645"/>
      <c r="C2" s="646"/>
      <c r="D2" s="646"/>
      <c r="E2" s="647"/>
      <c r="F2" s="644" t="s">
        <v>101</v>
      </c>
      <c r="G2" s="645"/>
      <c r="H2" s="646"/>
      <c r="I2" s="646"/>
      <c r="J2" s="647"/>
      <c r="K2" s="644" t="s">
        <v>102</v>
      </c>
      <c r="L2" s="645"/>
      <c r="M2" s="646"/>
      <c r="N2" s="646"/>
      <c r="O2" s="647"/>
      <c r="P2" s="644" t="s">
        <v>103</v>
      </c>
      <c r="Q2" s="645"/>
      <c r="R2" s="646"/>
      <c r="S2" s="646"/>
      <c r="T2" s="647"/>
      <c r="U2" s="644" t="s">
        <v>104</v>
      </c>
      <c r="V2" s="645"/>
      <c r="W2" s="646"/>
      <c r="X2" s="646"/>
      <c r="Y2" s="647"/>
      <c r="Z2" s="644" t="s">
        <v>105</v>
      </c>
      <c r="AA2" s="645"/>
      <c r="AB2" s="646"/>
      <c r="AC2" s="646"/>
      <c r="AD2" s="647"/>
    </row>
    <row r="3" spans="1:30" ht="23" customHeight="1">
      <c r="A3" s="650">
        <f>Aar!Y3</f>
        <v>1</v>
      </c>
      <c r="B3" s="651" t="str">
        <f>Aar!Z3</f>
        <v>to</v>
      </c>
      <c r="C3" s="652" t="str">
        <f>Februar!C9</f>
        <v>Skema 1</v>
      </c>
      <c r="D3" s="653" t="str">
        <f>Februar!DN9</f>
        <v/>
      </c>
      <c r="E3" s="654" t="str">
        <f>Februar!D9</f>
        <v/>
      </c>
      <c r="F3" s="132">
        <f>Aar!AC3</f>
        <v>1</v>
      </c>
      <c r="G3" s="132" t="str">
        <f>Aar!AD3</f>
        <v>fr</v>
      </c>
      <c r="H3" s="132" t="str">
        <f>Aar!AE3</f>
        <v>Skema 1</v>
      </c>
      <c r="I3" s="639" t="str">
        <f>Marts!DN9</f>
        <v/>
      </c>
      <c r="J3" s="635" t="str">
        <f>Marts!D9</f>
        <v/>
      </c>
      <c r="K3" s="132">
        <f>Aar!AG3</f>
        <v>1</v>
      </c>
      <c r="L3" s="132" t="str">
        <f>Aar!AH3</f>
        <v>ma</v>
      </c>
      <c r="M3" s="132" t="str">
        <f>Aar!AI3</f>
        <v>SH-dag</v>
      </c>
      <c r="N3" s="639" t="str">
        <f>April!DN9</f>
        <v>2. påskedag</v>
      </c>
      <c r="O3" s="633">
        <f>April!D9</f>
        <v>14</v>
      </c>
      <c r="P3" s="634">
        <f>Aar!AK3</f>
        <v>1</v>
      </c>
      <c r="Q3" s="132" t="str">
        <f>Aar!AL3</f>
        <v>on</v>
      </c>
      <c r="R3" s="132" t="str">
        <f>Aar!AM3</f>
        <v>Skema 1</v>
      </c>
      <c r="S3" s="639" t="str">
        <f>Maj!DN9</f>
        <v/>
      </c>
      <c r="T3" s="635" t="str">
        <f>Maj!D9</f>
        <v/>
      </c>
      <c r="U3" s="634">
        <f>Aar!AO3</f>
        <v>1</v>
      </c>
      <c r="V3" s="132" t="str">
        <f>Aar!AP3</f>
        <v>lø</v>
      </c>
      <c r="W3" s="132" t="str">
        <f>Aar!AQ3</f>
        <v>Weekend</v>
      </c>
      <c r="X3" s="639" t="str">
        <f>Juni!DN9</f>
        <v/>
      </c>
      <c r="Y3" s="633" t="str">
        <f>Juni!D9</f>
        <v/>
      </c>
      <c r="Z3" s="634">
        <f>Aar!AS3</f>
        <v>1</v>
      </c>
      <c r="AA3" s="132" t="str">
        <f>Aar!AT3</f>
        <v>ma</v>
      </c>
      <c r="AB3" s="132" t="str">
        <f>Aar!AU3</f>
        <v>Nul-dag</v>
      </c>
      <c r="AC3" s="639" t="str">
        <f>Juli!DN9</f>
        <v/>
      </c>
      <c r="AD3" s="635">
        <f>Juli!D9</f>
        <v>27</v>
      </c>
    </row>
    <row r="4" spans="1:30" ht="23" customHeight="1">
      <c r="A4" s="634">
        <f>Aar!Y4</f>
        <v>2</v>
      </c>
      <c r="B4" s="132" t="str">
        <f>Aar!Z4</f>
        <v>fr</v>
      </c>
      <c r="C4" s="133" t="str">
        <f>Februar!C10</f>
        <v>Skema 1</v>
      </c>
      <c r="D4" s="638" t="str">
        <f>Februar!DN10</f>
        <v/>
      </c>
      <c r="E4" s="637" t="str">
        <f>Aar!AB4</f>
        <v/>
      </c>
      <c r="F4" s="132">
        <f>Aar!AC4</f>
        <v>2</v>
      </c>
      <c r="G4" s="132" t="str">
        <f>Aar!AD4</f>
        <v>lø</v>
      </c>
      <c r="H4" s="132" t="str">
        <f>Aar!AE4</f>
        <v>Weekend</v>
      </c>
      <c r="I4" s="639" t="str">
        <f>Marts!DN10</f>
        <v/>
      </c>
      <c r="J4" s="635" t="str">
        <f>Marts!D10</f>
        <v/>
      </c>
      <c r="K4" s="132">
        <f>Aar!AG4</f>
        <v>2</v>
      </c>
      <c r="L4" s="132" t="str">
        <f>Aar!AH4</f>
        <v>ti</v>
      </c>
      <c r="M4" s="132" t="str">
        <f>Aar!AI4</f>
        <v>Skema 1</v>
      </c>
      <c r="N4" s="639" t="str">
        <f>April!DN10</f>
        <v/>
      </c>
      <c r="O4" s="633" t="str">
        <f>April!D10</f>
        <v/>
      </c>
      <c r="P4" s="634">
        <f>Aar!AK4</f>
        <v>2</v>
      </c>
      <c r="Q4" s="132" t="str">
        <f>Aar!AL4</f>
        <v>to</v>
      </c>
      <c r="R4" s="132" t="str">
        <f>Aar!AM4</f>
        <v>Skema 1</v>
      </c>
      <c r="S4" s="639" t="str">
        <f>Maj!DN10</f>
        <v/>
      </c>
      <c r="T4" s="635" t="str">
        <f>Maj!D10</f>
        <v/>
      </c>
      <c r="U4" s="634">
        <f>Aar!AO4</f>
        <v>2</v>
      </c>
      <c r="V4" s="132" t="str">
        <f>Aar!AP4</f>
        <v>sø</v>
      </c>
      <c r="W4" s="132" t="str">
        <f>Aar!AQ4</f>
        <v>Weekend</v>
      </c>
      <c r="X4" s="639" t="str">
        <f>Juni!DN10</f>
        <v/>
      </c>
      <c r="Y4" s="633" t="str">
        <f>Juni!D10</f>
        <v/>
      </c>
      <c r="Z4" s="634">
        <f>Aar!AS4</f>
        <v>2</v>
      </c>
      <c r="AA4" s="132" t="str">
        <f>Aar!AT4</f>
        <v>ti</v>
      </c>
      <c r="AB4" s="132" t="str">
        <f>Aar!AU4</f>
        <v>Nul-dag</v>
      </c>
      <c r="AC4" s="639" t="str">
        <f>Juli!DN10</f>
        <v/>
      </c>
      <c r="AD4" s="635" t="str">
        <f>Juli!D10</f>
        <v/>
      </c>
    </row>
    <row r="5" spans="1:30" ht="23" customHeight="1">
      <c r="A5" s="634">
        <f>Aar!Y5</f>
        <v>3</v>
      </c>
      <c r="B5" s="132" t="str">
        <f>Aar!Z5</f>
        <v>lø</v>
      </c>
      <c r="C5" s="133" t="str">
        <f>Februar!C11</f>
        <v>Weekend</v>
      </c>
      <c r="D5" s="638" t="str">
        <f>Februar!DN11</f>
        <v/>
      </c>
      <c r="E5" s="637" t="str">
        <f>Aar!AB5</f>
        <v/>
      </c>
      <c r="F5" s="132">
        <f>Aar!AC5</f>
        <v>3</v>
      </c>
      <c r="G5" s="132" t="str">
        <f>Aar!AD5</f>
        <v>sø</v>
      </c>
      <c r="H5" s="132" t="str">
        <f>Aar!AE5</f>
        <v>Weekend</v>
      </c>
      <c r="I5" s="639" t="str">
        <f>Marts!DN11</f>
        <v/>
      </c>
      <c r="J5" s="635" t="str">
        <f>Marts!D11</f>
        <v/>
      </c>
      <c r="K5" s="132">
        <f>Aar!AG5</f>
        <v>3</v>
      </c>
      <c r="L5" s="132" t="str">
        <f>Aar!AH5</f>
        <v>on</v>
      </c>
      <c r="M5" s="132" t="str">
        <f>Aar!AI5</f>
        <v>Skema 1</v>
      </c>
      <c r="N5" s="639" t="str">
        <f>April!DN11</f>
        <v/>
      </c>
      <c r="O5" s="633" t="str">
        <f>April!D11</f>
        <v/>
      </c>
      <c r="P5" s="634">
        <f>Aar!AK5</f>
        <v>3</v>
      </c>
      <c r="Q5" s="132" t="str">
        <f>Aar!AL5</f>
        <v>fr</v>
      </c>
      <c r="R5" s="132" t="str">
        <f>Aar!AM5</f>
        <v>Skema 1</v>
      </c>
      <c r="S5" s="639" t="str">
        <f>Maj!DN11</f>
        <v/>
      </c>
      <c r="T5" s="635" t="str">
        <f>Maj!D11</f>
        <v/>
      </c>
      <c r="U5" s="634">
        <f>Aar!AO5</f>
        <v>3</v>
      </c>
      <c r="V5" s="132" t="str">
        <f>Aar!AP5</f>
        <v>ma</v>
      </c>
      <c r="W5" s="132" t="str">
        <f>Aar!AQ5</f>
        <v>Skema 1</v>
      </c>
      <c r="X5" s="639" t="str">
        <f>Juni!DN11</f>
        <v/>
      </c>
      <c r="Y5" s="633">
        <f>Juni!D11</f>
        <v>23</v>
      </c>
      <c r="Z5" s="634">
        <f>Aar!AS5</f>
        <v>3</v>
      </c>
      <c r="AA5" s="132" t="str">
        <f>Aar!AT5</f>
        <v>on</v>
      </c>
      <c r="AB5" s="132" t="str">
        <f>Aar!AU5</f>
        <v>Nul-dag</v>
      </c>
      <c r="AC5" s="639" t="str">
        <f>Juli!DN11</f>
        <v/>
      </c>
      <c r="AD5" s="635" t="str">
        <f>Juli!D11</f>
        <v/>
      </c>
    </row>
    <row r="6" spans="1:30" ht="23" customHeight="1">
      <c r="A6" s="634">
        <f>Aar!Y6</f>
        <v>4</v>
      </c>
      <c r="B6" s="132" t="str">
        <f>Aar!Z6</f>
        <v>sø</v>
      </c>
      <c r="C6" s="133" t="str">
        <f>Februar!C12</f>
        <v>Weekend</v>
      </c>
      <c r="D6" s="638" t="str">
        <f>Februar!DN12</f>
        <v/>
      </c>
      <c r="E6" s="637" t="str">
        <f>Aar!AB6</f>
        <v/>
      </c>
      <c r="F6" s="132">
        <f>Aar!AC6</f>
        <v>4</v>
      </c>
      <c r="G6" s="132" t="str">
        <f>Aar!AD6</f>
        <v>ma</v>
      </c>
      <c r="H6" s="132" t="str">
        <f>Aar!AE6</f>
        <v>Skema 1</v>
      </c>
      <c r="I6" s="639" t="str">
        <f>Marts!DN12</f>
        <v/>
      </c>
      <c r="J6" s="635">
        <f>Marts!D12</f>
        <v>10</v>
      </c>
      <c r="K6" s="132">
        <f>Aar!AG6</f>
        <v>4</v>
      </c>
      <c r="L6" s="132" t="str">
        <f>Aar!AH6</f>
        <v>to</v>
      </c>
      <c r="M6" s="132" t="str">
        <f>Aar!AI6</f>
        <v>Skema 1</v>
      </c>
      <c r="N6" s="639" t="str">
        <f>April!DN12</f>
        <v/>
      </c>
      <c r="O6" s="633" t="str">
        <f>April!D12</f>
        <v/>
      </c>
      <c r="P6" s="634">
        <f>Aar!AK6</f>
        <v>4</v>
      </c>
      <c r="Q6" s="132" t="str">
        <f>Aar!AL6</f>
        <v>lø</v>
      </c>
      <c r="R6" s="132" t="str">
        <f>Aar!AM6</f>
        <v>Weekend</v>
      </c>
      <c r="S6" s="639" t="str">
        <f>Maj!DN12</f>
        <v/>
      </c>
      <c r="T6" s="635" t="str">
        <f>Maj!D12</f>
        <v/>
      </c>
      <c r="U6" s="634">
        <f>Aar!AO6</f>
        <v>4</v>
      </c>
      <c r="V6" s="132" t="str">
        <f>Aar!AP6</f>
        <v>ti</v>
      </c>
      <c r="W6" s="132" t="str">
        <f>Aar!AQ6</f>
        <v>Skema 1</v>
      </c>
      <c r="X6" s="639" t="str">
        <f>Juni!DN12</f>
        <v/>
      </c>
      <c r="Y6" s="633" t="str">
        <f>Juni!D12</f>
        <v/>
      </c>
      <c r="Z6" s="634">
        <f>Aar!AS6</f>
        <v>4</v>
      </c>
      <c r="AA6" s="132" t="str">
        <f>Aar!AT6</f>
        <v>to</v>
      </c>
      <c r="AB6" s="132" t="str">
        <f>Aar!AU6</f>
        <v>Nul-dag</v>
      </c>
      <c r="AC6" s="639" t="str">
        <f>Juli!DN12</f>
        <v/>
      </c>
      <c r="AD6" s="635" t="str">
        <f>Juli!D12</f>
        <v/>
      </c>
    </row>
    <row r="7" spans="1:30" ht="23" customHeight="1">
      <c r="A7" s="634">
        <f>Aar!Y7</f>
        <v>5</v>
      </c>
      <c r="B7" s="132" t="str">
        <f>Aar!Z7</f>
        <v>ma</v>
      </c>
      <c r="C7" s="133" t="str">
        <f>Februar!C13</f>
        <v>Skema 1</v>
      </c>
      <c r="D7" s="638" t="str">
        <f>Februar!DN13</f>
        <v/>
      </c>
      <c r="E7" s="637">
        <f>Aar!AB7</f>
        <v>6</v>
      </c>
      <c r="F7" s="132">
        <f>Aar!AC7</f>
        <v>5</v>
      </c>
      <c r="G7" s="132" t="str">
        <f>Aar!AD7</f>
        <v>ti</v>
      </c>
      <c r="H7" s="132" t="str">
        <f>Aar!AE7</f>
        <v>Skema 1</v>
      </c>
      <c r="I7" s="639" t="str">
        <f>Marts!DN13</f>
        <v/>
      </c>
      <c r="J7" s="635" t="str">
        <f>Marts!D13</f>
        <v/>
      </c>
      <c r="K7" s="132">
        <f>Aar!AG7</f>
        <v>5</v>
      </c>
      <c r="L7" s="132" t="str">
        <f>Aar!AH7</f>
        <v>fr</v>
      </c>
      <c r="M7" s="132" t="str">
        <f>Aar!AI7</f>
        <v>Skema 1</v>
      </c>
      <c r="N7" s="639" t="str">
        <f>April!DN13</f>
        <v/>
      </c>
      <c r="O7" s="633" t="str">
        <f>April!D13</f>
        <v/>
      </c>
      <c r="P7" s="634">
        <f>Aar!AK7</f>
        <v>5</v>
      </c>
      <c r="Q7" s="132" t="str">
        <f>Aar!AL7</f>
        <v>sø</v>
      </c>
      <c r="R7" s="132" t="str">
        <f>Aar!AM7</f>
        <v>Weekend</v>
      </c>
      <c r="S7" s="639" t="str">
        <f>Maj!DN13</f>
        <v/>
      </c>
      <c r="T7" s="635" t="str">
        <f>Maj!D13</f>
        <v/>
      </c>
      <c r="U7" s="634">
        <f>Aar!AO7</f>
        <v>5</v>
      </c>
      <c r="V7" s="132" t="str">
        <f>Aar!AP7</f>
        <v>on</v>
      </c>
      <c r="W7" s="132" t="str">
        <f>Aar!AQ7</f>
        <v>Skema 1</v>
      </c>
      <c r="X7" s="639" t="str">
        <f>Juni!DN13</f>
        <v>Grundlovsdag</v>
      </c>
      <c r="Y7" s="633" t="str">
        <f>Juni!D13</f>
        <v/>
      </c>
      <c r="Z7" s="634">
        <f>Aar!AS7</f>
        <v>5</v>
      </c>
      <c r="AA7" s="132" t="str">
        <f>Aar!AT7</f>
        <v>fr</v>
      </c>
      <c r="AB7" s="132" t="str">
        <f>Aar!AU7</f>
        <v>Nul-dag</v>
      </c>
      <c r="AC7" s="639" t="str">
        <f>Juli!DN13</f>
        <v/>
      </c>
      <c r="AD7" s="635" t="str">
        <f>Juli!D13</f>
        <v/>
      </c>
    </row>
    <row r="8" spans="1:30" ht="23" customHeight="1">
      <c r="A8" s="634">
        <f>Aar!Y8</f>
        <v>6</v>
      </c>
      <c r="B8" s="132" t="str">
        <f>Aar!Z8</f>
        <v>ti</v>
      </c>
      <c r="C8" s="133" t="str">
        <f>Februar!C14</f>
        <v>Skema 1</v>
      </c>
      <c r="D8" s="638" t="str">
        <f>Februar!DN14</f>
        <v/>
      </c>
      <c r="E8" s="637" t="str">
        <f>Aar!AB8</f>
        <v/>
      </c>
      <c r="F8" s="132">
        <f>Aar!AC8</f>
        <v>6</v>
      </c>
      <c r="G8" s="132" t="str">
        <f>Aar!AD8</f>
        <v>on</v>
      </c>
      <c r="H8" s="132" t="str">
        <f>Aar!AE8</f>
        <v>Skema 1</v>
      </c>
      <c r="I8" s="639" t="str">
        <f>Marts!DN14</f>
        <v/>
      </c>
      <c r="J8" s="635" t="str">
        <f>Marts!D14</f>
        <v/>
      </c>
      <c r="K8" s="132">
        <f>Aar!AG8</f>
        <v>6</v>
      </c>
      <c r="L8" s="132" t="str">
        <f>Aar!AH8</f>
        <v>lø</v>
      </c>
      <c r="M8" s="132" t="str">
        <f>Aar!AI8</f>
        <v>Weekend</v>
      </c>
      <c r="N8" s="639" t="str">
        <f>April!DN14</f>
        <v/>
      </c>
      <c r="O8" s="633" t="str">
        <f>April!D14</f>
        <v/>
      </c>
      <c r="P8" s="634">
        <f>Aar!AK8</f>
        <v>6</v>
      </c>
      <c r="Q8" s="132" t="str">
        <f>Aar!AL8</f>
        <v>ma</v>
      </c>
      <c r="R8" s="132" t="str">
        <f>Aar!AM8</f>
        <v>Skema 1</v>
      </c>
      <c r="S8" s="639" t="str">
        <f>Maj!DN14</f>
        <v/>
      </c>
      <c r="T8" s="635">
        <f>Maj!D14</f>
        <v>19</v>
      </c>
      <c r="U8" s="634">
        <f>Aar!AO8</f>
        <v>6</v>
      </c>
      <c r="V8" s="132" t="str">
        <f>Aar!AP8</f>
        <v>to</v>
      </c>
      <c r="W8" s="132" t="str">
        <f>Aar!AQ8</f>
        <v>Skema 1</v>
      </c>
      <c r="X8" s="639" t="str">
        <f>Juni!DN14</f>
        <v/>
      </c>
      <c r="Y8" s="633" t="str">
        <f>Juni!D14</f>
        <v/>
      </c>
      <c r="Z8" s="634">
        <f>Aar!AS8</f>
        <v>6</v>
      </c>
      <c r="AA8" s="132" t="str">
        <f>Aar!AT8</f>
        <v>lø</v>
      </c>
      <c r="AB8" s="132" t="str">
        <f>Aar!AU8</f>
        <v>Weekend</v>
      </c>
      <c r="AC8" s="639" t="str">
        <f>Juli!DN14</f>
        <v/>
      </c>
      <c r="AD8" s="635" t="str">
        <f>Juli!D14</f>
        <v/>
      </c>
    </row>
    <row r="9" spans="1:30" ht="23" customHeight="1">
      <c r="A9" s="634">
        <f>Aar!Y9</f>
        <v>7</v>
      </c>
      <c r="B9" s="132" t="str">
        <f>Aar!Z9</f>
        <v>on</v>
      </c>
      <c r="C9" s="133" t="str">
        <f>Februar!C15</f>
        <v>Skema 1</v>
      </c>
      <c r="D9" s="638" t="str">
        <f>Februar!DN15</f>
        <v/>
      </c>
      <c r="E9" s="637" t="str">
        <f>Aar!AB9</f>
        <v/>
      </c>
      <c r="F9" s="132">
        <f>Aar!AC9</f>
        <v>7</v>
      </c>
      <c r="G9" s="132" t="str">
        <f>Aar!AD9</f>
        <v>to</v>
      </c>
      <c r="H9" s="132" t="str">
        <f>Aar!AE9</f>
        <v>Skema 1</v>
      </c>
      <c r="I9" s="639" t="str">
        <f>Marts!DN15</f>
        <v/>
      </c>
      <c r="J9" s="635" t="str">
        <f>Marts!D15</f>
        <v/>
      </c>
      <c r="K9" s="132">
        <f>Aar!AG9</f>
        <v>7</v>
      </c>
      <c r="L9" s="132" t="str">
        <f>Aar!AH9</f>
        <v>sø</v>
      </c>
      <c r="M9" s="132" t="str">
        <f>Aar!AI9</f>
        <v>Weekend</v>
      </c>
      <c r="N9" s="639" t="str">
        <f>April!DN15</f>
        <v/>
      </c>
      <c r="O9" s="633" t="str">
        <f>April!D15</f>
        <v/>
      </c>
      <c r="P9" s="634">
        <f>Aar!AK9</f>
        <v>7</v>
      </c>
      <c r="Q9" s="132" t="str">
        <f>Aar!AL9</f>
        <v>ti</v>
      </c>
      <c r="R9" s="132" t="str">
        <f>Aar!AM9</f>
        <v>Skema 1</v>
      </c>
      <c r="S9" s="639" t="str">
        <f>Maj!DN15</f>
        <v/>
      </c>
      <c r="T9" s="635" t="str">
        <f>Maj!D15</f>
        <v/>
      </c>
      <c r="U9" s="634">
        <f>Aar!AO9</f>
        <v>7</v>
      </c>
      <c r="V9" s="132" t="str">
        <f>Aar!AP9</f>
        <v>fr</v>
      </c>
      <c r="W9" s="132" t="str">
        <f>Aar!AQ9</f>
        <v>Skema 1</v>
      </c>
      <c r="X9" s="639" t="str">
        <f>Juni!DN15</f>
        <v/>
      </c>
      <c r="Y9" s="633" t="str">
        <f>Juni!D15</f>
        <v/>
      </c>
      <c r="Z9" s="634">
        <f>Aar!AS9</f>
        <v>7</v>
      </c>
      <c r="AA9" s="132" t="str">
        <f>Aar!AT9</f>
        <v>sø</v>
      </c>
      <c r="AB9" s="132" t="str">
        <f>Aar!AU9</f>
        <v>Weekend</v>
      </c>
      <c r="AC9" s="639" t="str">
        <f>Juli!DN15</f>
        <v/>
      </c>
      <c r="AD9" s="635" t="str">
        <f>Juli!D15</f>
        <v/>
      </c>
    </row>
    <row r="10" spans="1:30" ht="23" customHeight="1">
      <c r="A10" s="634">
        <f>Aar!Y10</f>
        <v>8</v>
      </c>
      <c r="B10" s="132" t="str">
        <f>Aar!Z10</f>
        <v>to</v>
      </c>
      <c r="C10" s="133" t="str">
        <f>Februar!C16</f>
        <v>Skema 1</v>
      </c>
      <c r="D10" s="638" t="str">
        <f>Februar!DN16</f>
        <v/>
      </c>
      <c r="E10" s="637" t="str">
        <f>Aar!AB10</f>
        <v/>
      </c>
      <c r="F10" s="132">
        <f>Aar!AC10</f>
        <v>8</v>
      </c>
      <c r="G10" s="132" t="str">
        <f>Aar!AD10</f>
        <v>fr</v>
      </c>
      <c r="H10" s="132" t="str">
        <f>Aar!AE10</f>
        <v>Skema 1</v>
      </c>
      <c r="I10" s="639" t="str">
        <f>Marts!DN16</f>
        <v/>
      </c>
      <c r="J10" s="635" t="str">
        <f>Marts!D16</f>
        <v/>
      </c>
      <c r="K10" s="132">
        <f>Aar!AG10</f>
        <v>8</v>
      </c>
      <c r="L10" s="132" t="str">
        <f>Aar!AH10</f>
        <v>ma</v>
      </c>
      <c r="M10" s="132" t="str">
        <f>Aar!AI10</f>
        <v>Skema 1</v>
      </c>
      <c r="N10" s="639" t="str">
        <f>April!DN16</f>
        <v/>
      </c>
      <c r="O10" s="633">
        <f>April!D16</f>
        <v>15</v>
      </c>
      <c r="P10" s="634">
        <f>Aar!AK10</f>
        <v>8</v>
      </c>
      <c r="Q10" s="132" t="str">
        <f>Aar!AL10</f>
        <v>on</v>
      </c>
      <c r="R10" s="132" t="str">
        <f>Aar!AM10</f>
        <v>Skema 1</v>
      </c>
      <c r="S10" s="639" t="str">
        <f>Maj!DN16</f>
        <v/>
      </c>
      <c r="T10" s="635" t="str">
        <f>Maj!D16</f>
        <v/>
      </c>
      <c r="U10" s="634">
        <f>Aar!AO10</f>
        <v>8</v>
      </c>
      <c r="V10" s="132" t="str">
        <f>Aar!AP10</f>
        <v>lø</v>
      </c>
      <c r="W10" s="132" t="str">
        <f>Aar!AQ10</f>
        <v>Weekend</v>
      </c>
      <c r="X10" s="639" t="str">
        <f>Juni!DN16</f>
        <v/>
      </c>
      <c r="Y10" s="633" t="str">
        <f>Juni!D16</f>
        <v/>
      </c>
      <c r="Z10" s="634">
        <f>Aar!AS10</f>
        <v>8</v>
      </c>
      <c r="AA10" s="132" t="str">
        <f>Aar!AT10</f>
        <v>ma</v>
      </c>
      <c r="AB10" s="132" t="str">
        <f>Aar!AU10</f>
        <v>Feriedag</v>
      </c>
      <c r="AC10" s="639" t="str">
        <f>Juli!DN16</f>
        <v>Sommerferie</v>
      </c>
      <c r="AD10" s="635">
        <f>Juli!D16</f>
        <v>28</v>
      </c>
    </row>
    <row r="11" spans="1:30" ht="23" customHeight="1">
      <c r="A11" s="634">
        <f>Aar!Y11</f>
        <v>9</v>
      </c>
      <c r="B11" s="132" t="str">
        <f>Aar!Z11</f>
        <v>fr</v>
      </c>
      <c r="C11" s="133" t="str">
        <f>Februar!C17</f>
        <v>Skema 1</v>
      </c>
      <c r="D11" s="638" t="str">
        <f>Februar!DN17</f>
        <v/>
      </c>
      <c r="E11" s="637" t="str">
        <f>Aar!AB11</f>
        <v/>
      </c>
      <c r="F11" s="132">
        <f>Aar!AC11</f>
        <v>9</v>
      </c>
      <c r="G11" s="132" t="str">
        <f>Aar!AD11</f>
        <v>lø</v>
      </c>
      <c r="H11" s="132" t="str">
        <f>Aar!AE11</f>
        <v>Weekend</v>
      </c>
      <c r="I11" s="639" t="str">
        <f>Marts!DN17</f>
        <v/>
      </c>
      <c r="J11" s="635" t="str">
        <f>Marts!D17</f>
        <v/>
      </c>
      <c r="K11" s="132">
        <f>Aar!AG11</f>
        <v>9</v>
      </c>
      <c r="L11" s="132" t="str">
        <f>Aar!AH11</f>
        <v>ti</v>
      </c>
      <c r="M11" s="132" t="str">
        <f>Aar!AI11</f>
        <v>Skema 1</v>
      </c>
      <c r="N11" s="639" t="str">
        <f>April!DN17</f>
        <v/>
      </c>
      <c r="O11" s="633" t="str">
        <f>April!D17</f>
        <v/>
      </c>
      <c r="P11" s="634">
        <f>Aar!AK11</f>
        <v>9</v>
      </c>
      <c r="Q11" s="132" t="str">
        <f>Aar!AL11</f>
        <v>to</v>
      </c>
      <c r="R11" s="132" t="str">
        <f>Aar!AM11</f>
        <v>SH-dag</v>
      </c>
      <c r="S11" s="639" t="str">
        <f>Maj!DN17</f>
        <v>Kr. himmelfartsdag</v>
      </c>
      <c r="T11" s="635" t="str">
        <f>Maj!D17</f>
        <v/>
      </c>
      <c r="U11" s="634">
        <f>Aar!AO11</f>
        <v>9</v>
      </c>
      <c r="V11" s="132" t="str">
        <f>Aar!AP11</f>
        <v>sø</v>
      </c>
      <c r="W11" s="132" t="str">
        <f>Aar!AQ11</f>
        <v>Weekend</v>
      </c>
      <c r="X11" s="639" t="str">
        <f>Juni!DN17</f>
        <v/>
      </c>
      <c r="Y11" s="633" t="str">
        <f>Juni!D17</f>
        <v/>
      </c>
      <c r="Z11" s="634">
        <f>Aar!AS11</f>
        <v>9</v>
      </c>
      <c r="AA11" s="132" t="str">
        <f>Aar!AT11</f>
        <v>ti</v>
      </c>
      <c r="AB11" s="132" t="str">
        <f>Aar!AU11</f>
        <v>Feriedag</v>
      </c>
      <c r="AC11" s="639" t="str">
        <f>Juli!DN17</f>
        <v>Sommerferie</v>
      </c>
      <c r="AD11" s="635" t="str">
        <f>Juli!D17</f>
        <v/>
      </c>
    </row>
    <row r="12" spans="1:30" ht="23" customHeight="1">
      <c r="A12" s="634">
        <f>Aar!Y12</f>
        <v>10</v>
      </c>
      <c r="B12" s="132" t="str">
        <f>Aar!Z12</f>
        <v>lø</v>
      </c>
      <c r="C12" s="133" t="str">
        <f>Februar!C18</f>
        <v>Weekend</v>
      </c>
      <c r="D12" s="638" t="str">
        <f>Februar!DN18</f>
        <v/>
      </c>
      <c r="E12" s="637" t="str">
        <f>Aar!AB12</f>
        <v/>
      </c>
      <c r="F12" s="132">
        <f>Aar!AC12</f>
        <v>10</v>
      </c>
      <c r="G12" s="132" t="str">
        <f>Aar!AD12</f>
        <v>sø</v>
      </c>
      <c r="H12" s="132" t="str">
        <f>Aar!AE12</f>
        <v>Weekend</v>
      </c>
      <c r="I12" s="639" t="str">
        <f>Marts!DN18</f>
        <v/>
      </c>
      <c r="J12" s="635" t="str">
        <f>Marts!D18</f>
        <v/>
      </c>
      <c r="K12" s="132">
        <f>Aar!AG12</f>
        <v>10</v>
      </c>
      <c r="L12" s="132" t="str">
        <f>Aar!AH12</f>
        <v>on</v>
      </c>
      <c r="M12" s="132" t="str">
        <f>Aar!AI12</f>
        <v>Skema 1</v>
      </c>
      <c r="N12" s="639" t="str">
        <f>April!DN18</f>
        <v/>
      </c>
      <c r="O12" s="633" t="str">
        <f>April!D18</f>
        <v/>
      </c>
      <c r="P12" s="634">
        <f>Aar!AK12</f>
        <v>10</v>
      </c>
      <c r="Q12" s="132" t="str">
        <f>Aar!AL12</f>
        <v>fr</v>
      </c>
      <c r="R12" s="132" t="str">
        <f>Aar!AM12</f>
        <v>Nul-dag</v>
      </c>
      <c r="S12" s="639" t="str">
        <f>Maj!DN18</f>
        <v/>
      </c>
      <c r="T12" s="635" t="str">
        <f>Maj!D18</f>
        <v/>
      </c>
      <c r="U12" s="634">
        <f>Aar!AO12</f>
        <v>10</v>
      </c>
      <c r="V12" s="132" t="str">
        <f>Aar!AP12</f>
        <v>ma</v>
      </c>
      <c r="W12" s="132" t="str">
        <f>Aar!AQ12</f>
        <v>Skema 1</v>
      </c>
      <c r="X12" s="639" t="str">
        <f>Juni!DN18</f>
        <v/>
      </c>
      <c r="Y12" s="633">
        <f>Juni!D18</f>
        <v>24</v>
      </c>
      <c r="Z12" s="634">
        <f>Aar!AS12</f>
        <v>10</v>
      </c>
      <c r="AA12" s="132" t="str">
        <f>Aar!AT12</f>
        <v>on</v>
      </c>
      <c r="AB12" s="132" t="str">
        <f>Aar!AU12</f>
        <v>Feriedag</v>
      </c>
      <c r="AC12" s="639" t="str">
        <f>Juli!DN18</f>
        <v>Sommerferie</v>
      </c>
      <c r="AD12" s="635" t="str">
        <f>Juli!D18</f>
        <v/>
      </c>
    </row>
    <row r="13" spans="1:30" ht="23" customHeight="1">
      <c r="A13" s="634">
        <f>Aar!Y13</f>
        <v>11</v>
      </c>
      <c r="B13" s="132" t="str">
        <f>Aar!Z13</f>
        <v>sø</v>
      </c>
      <c r="C13" s="133" t="str">
        <f>Februar!C19</f>
        <v>Weekend</v>
      </c>
      <c r="D13" s="638" t="str">
        <f>Februar!DN19</f>
        <v/>
      </c>
      <c r="E13" s="637" t="str">
        <f>Aar!AB13</f>
        <v/>
      </c>
      <c r="F13" s="132">
        <f>Aar!AC13</f>
        <v>11</v>
      </c>
      <c r="G13" s="132" t="str">
        <f>Aar!AD13</f>
        <v>ma</v>
      </c>
      <c r="H13" s="132" t="str">
        <f>Aar!AE13</f>
        <v>Skema 1</v>
      </c>
      <c r="I13" s="639" t="str">
        <f>Marts!DN19</f>
        <v/>
      </c>
      <c r="J13" s="635">
        <f>Marts!D19</f>
        <v>11</v>
      </c>
      <c r="K13" s="132">
        <f>Aar!AG13</f>
        <v>11</v>
      </c>
      <c r="L13" s="132" t="str">
        <f>Aar!AH13</f>
        <v>to</v>
      </c>
      <c r="M13" s="132" t="str">
        <f>Aar!AI13</f>
        <v>Skema 1</v>
      </c>
      <c r="N13" s="639" t="str">
        <f>April!DN19</f>
        <v/>
      </c>
      <c r="O13" s="633" t="str">
        <f>April!D19</f>
        <v/>
      </c>
      <c r="P13" s="634">
        <f>Aar!AK13</f>
        <v>11</v>
      </c>
      <c r="Q13" s="132" t="str">
        <f>Aar!AL13</f>
        <v>lø</v>
      </c>
      <c r="R13" s="132" t="str">
        <f>Aar!AM13</f>
        <v>Weekend</v>
      </c>
      <c r="S13" s="639" t="str">
        <f>Maj!DN19</f>
        <v/>
      </c>
      <c r="T13" s="635" t="str">
        <f>Maj!D19</f>
        <v/>
      </c>
      <c r="U13" s="634">
        <f>Aar!AO13</f>
        <v>11</v>
      </c>
      <c r="V13" s="132" t="str">
        <f>Aar!AP13</f>
        <v>ti</v>
      </c>
      <c r="W13" s="132" t="str">
        <f>Aar!AQ13</f>
        <v>Skema 1</v>
      </c>
      <c r="X13" s="639" t="str">
        <f>Juni!DN19</f>
        <v/>
      </c>
      <c r="Y13" s="633" t="str">
        <f>Juni!D19</f>
        <v/>
      </c>
      <c r="Z13" s="634">
        <f>Aar!AS13</f>
        <v>11</v>
      </c>
      <c r="AA13" s="132" t="str">
        <f>Aar!AT13</f>
        <v>to</v>
      </c>
      <c r="AB13" s="132" t="str">
        <f>Aar!AU13</f>
        <v>Feriedag</v>
      </c>
      <c r="AC13" s="639" t="str">
        <f>Juli!DN19</f>
        <v>Sommerferie</v>
      </c>
      <c r="AD13" s="635" t="str">
        <f>Juli!D19</f>
        <v/>
      </c>
    </row>
    <row r="14" spans="1:30" ht="23" customHeight="1">
      <c r="A14" s="634">
        <f>Aar!Y14</f>
        <v>12</v>
      </c>
      <c r="B14" s="132" t="str">
        <f>Aar!Z14</f>
        <v>ma</v>
      </c>
      <c r="C14" s="133" t="str">
        <f>Februar!C20</f>
        <v>Nul-dag</v>
      </c>
      <c r="D14" s="638" t="str">
        <f>Februar!DN20</f>
        <v>Elevernes vinterferie</v>
      </c>
      <c r="E14" s="637">
        <f>Aar!AB14</f>
        <v>7</v>
      </c>
      <c r="F14" s="132">
        <f>Aar!AC14</f>
        <v>12</v>
      </c>
      <c r="G14" s="132" t="str">
        <f>Aar!AD14</f>
        <v>ti</v>
      </c>
      <c r="H14" s="132" t="str">
        <f>Aar!AE14</f>
        <v>Skema 1</v>
      </c>
      <c r="I14" s="639" t="str">
        <f>Marts!DN20</f>
        <v/>
      </c>
      <c r="J14" s="635" t="str">
        <f>Marts!D20</f>
        <v/>
      </c>
      <c r="K14" s="132">
        <f>Aar!AG14</f>
        <v>12</v>
      </c>
      <c r="L14" s="132" t="str">
        <f>Aar!AH14</f>
        <v>fr</v>
      </c>
      <c r="M14" s="132" t="str">
        <f>Aar!AI14</f>
        <v>Skema 1</v>
      </c>
      <c r="N14" s="639" t="str">
        <f>April!DN20</f>
        <v/>
      </c>
      <c r="O14" s="633" t="str">
        <f>April!D20</f>
        <v/>
      </c>
      <c r="P14" s="634">
        <f>Aar!AK14</f>
        <v>12</v>
      </c>
      <c r="Q14" s="132" t="str">
        <f>Aar!AL14</f>
        <v>sø</v>
      </c>
      <c r="R14" s="132" t="str">
        <f>Aar!AM14</f>
        <v>Weekend</v>
      </c>
      <c r="S14" s="639" t="str">
        <f>Maj!DN20</f>
        <v/>
      </c>
      <c r="T14" s="635" t="str">
        <f>Maj!D20</f>
        <v/>
      </c>
      <c r="U14" s="634">
        <f>Aar!AO14</f>
        <v>12</v>
      </c>
      <c r="V14" s="132" t="str">
        <f>Aar!AP14</f>
        <v>on</v>
      </c>
      <c r="W14" s="132" t="str">
        <f>Aar!AQ14</f>
        <v>Skema 1</v>
      </c>
      <c r="X14" s="639" t="str">
        <f>Juni!DN20</f>
        <v/>
      </c>
      <c r="Y14" s="633" t="str">
        <f>Juni!D20</f>
        <v/>
      </c>
      <c r="Z14" s="634">
        <f>Aar!AS14</f>
        <v>12</v>
      </c>
      <c r="AA14" s="132" t="str">
        <f>Aar!AT14</f>
        <v>fr</v>
      </c>
      <c r="AB14" s="132" t="str">
        <f>Aar!AU14</f>
        <v>Feriedag</v>
      </c>
      <c r="AC14" s="639" t="str">
        <f>Juli!DN20</f>
        <v>Sommerferie</v>
      </c>
      <c r="AD14" s="635" t="str">
        <f>Juli!D20</f>
        <v/>
      </c>
    </row>
    <row r="15" spans="1:30" ht="23" customHeight="1">
      <c r="A15" s="634">
        <f>Aar!Y15</f>
        <v>13</v>
      </c>
      <c r="B15" s="132" t="str">
        <f>Aar!Z15</f>
        <v>ti</v>
      </c>
      <c r="C15" s="133" t="str">
        <f>Februar!C21</f>
        <v>Nul-dag</v>
      </c>
      <c r="D15" s="638" t="str">
        <f>Februar!DN21</f>
        <v>Elevernes vinterferie</v>
      </c>
      <c r="E15" s="637" t="str">
        <f>Aar!AB15</f>
        <v/>
      </c>
      <c r="F15" s="132">
        <f>Aar!AC15</f>
        <v>13</v>
      </c>
      <c r="G15" s="132" t="str">
        <f>Aar!AD15</f>
        <v>on</v>
      </c>
      <c r="H15" s="132" t="str">
        <f>Aar!AE15</f>
        <v>Skema 1</v>
      </c>
      <c r="I15" s="639" t="str">
        <f>Marts!DN21</f>
        <v/>
      </c>
      <c r="J15" s="635" t="str">
        <f>Marts!D21</f>
        <v/>
      </c>
      <c r="K15" s="132">
        <f>Aar!AG15</f>
        <v>13</v>
      </c>
      <c r="L15" s="132" t="str">
        <f>Aar!AH15</f>
        <v>lø</v>
      </c>
      <c r="M15" s="132" t="str">
        <f>Aar!AI15</f>
        <v>Weekend</v>
      </c>
      <c r="N15" s="639" t="str">
        <f>April!DN21</f>
        <v/>
      </c>
      <c r="O15" s="633" t="str">
        <f>April!D21</f>
        <v/>
      </c>
      <c r="P15" s="634">
        <f>Aar!AK15</f>
        <v>13</v>
      </c>
      <c r="Q15" s="132" t="str">
        <f>Aar!AL15</f>
        <v>ma</v>
      </c>
      <c r="R15" s="132" t="str">
        <f>Aar!AM15</f>
        <v>Skema 1</v>
      </c>
      <c r="S15" s="639" t="str">
        <f>Maj!DN21</f>
        <v/>
      </c>
      <c r="T15" s="635">
        <f>Maj!D21</f>
        <v>20</v>
      </c>
      <c r="U15" s="634">
        <f>Aar!AO15</f>
        <v>13</v>
      </c>
      <c r="V15" s="132" t="str">
        <f>Aar!AP15</f>
        <v>to</v>
      </c>
      <c r="W15" s="132" t="str">
        <f>Aar!AQ15</f>
        <v>Skema 1</v>
      </c>
      <c r="X15" s="639" t="str">
        <f>Juni!DN21</f>
        <v/>
      </c>
      <c r="Y15" s="633" t="str">
        <f>Juni!D21</f>
        <v/>
      </c>
      <c r="Z15" s="634">
        <f>Aar!AS15</f>
        <v>13</v>
      </c>
      <c r="AA15" s="132" t="str">
        <f>Aar!AT15</f>
        <v>lø</v>
      </c>
      <c r="AB15" s="132" t="str">
        <f>Aar!AU15</f>
        <v>Weekend</v>
      </c>
      <c r="AC15" s="639" t="str">
        <f>Juli!DN21</f>
        <v/>
      </c>
      <c r="AD15" s="635" t="str">
        <f>Juli!D21</f>
        <v/>
      </c>
    </row>
    <row r="16" spans="1:30" ht="23" customHeight="1">
      <c r="A16" s="634">
        <f>Aar!Y16</f>
        <v>14</v>
      </c>
      <c r="B16" s="132" t="str">
        <f>Aar!Z16</f>
        <v>on</v>
      </c>
      <c r="C16" s="133" t="str">
        <f>Februar!C22</f>
        <v>Nul-dag</v>
      </c>
      <c r="D16" s="638" t="str">
        <f>Februar!DN22</f>
        <v>Elevernes vinterferie</v>
      </c>
      <c r="E16" s="637" t="str">
        <f>Aar!AB16</f>
        <v/>
      </c>
      <c r="F16" s="132">
        <f>Aar!AC16</f>
        <v>14</v>
      </c>
      <c r="G16" s="132" t="str">
        <f>Aar!AD16</f>
        <v>to</v>
      </c>
      <c r="H16" s="132" t="str">
        <f>Aar!AE16</f>
        <v>Skema 1</v>
      </c>
      <c r="I16" s="639" t="str">
        <f>Marts!DN22</f>
        <v/>
      </c>
      <c r="J16" s="635" t="str">
        <f>Marts!D22</f>
        <v/>
      </c>
      <c r="K16" s="132">
        <f>Aar!AG16</f>
        <v>14</v>
      </c>
      <c r="L16" s="132" t="str">
        <f>Aar!AH16</f>
        <v>sø</v>
      </c>
      <c r="M16" s="132" t="str">
        <f>Aar!AI16</f>
        <v>Weekend</v>
      </c>
      <c r="N16" s="639" t="str">
        <f>April!DN22</f>
        <v/>
      </c>
      <c r="O16" s="633" t="str">
        <f>April!D22</f>
        <v/>
      </c>
      <c r="P16" s="634">
        <f>Aar!AK16</f>
        <v>14</v>
      </c>
      <c r="Q16" s="132" t="str">
        <f>Aar!AL16</f>
        <v>ti</v>
      </c>
      <c r="R16" s="132" t="str">
        <f>Aar!AM16</f>
        <v>Skema 1</v>
      </c>
      <c r="S16" s="639" t="str">
        <f>Maj!DN22</f>
        <v/>
      </c>
      <c r="T16" s="635" t="str">
        <f>Maj!D22</f>
        <v/>
      </c>
      <c r="U16" s="634">
        <f>Aar!AO16</f>
        <v>14</v>
      </c>
      <c r="V16" s="132" t="str">
        <f>Aar!AP16</f>
        <v>fr</v>
      </c>
      <c r="W16" s="132" t="str">
        <f>Aar!AQ16</f>
        <v>Skema 1</v>
      </c>
      <c r="X16" s="639" t="str">
        <f>Juni!DN22</f>
        <v/>
      </c>
      <c r="Y16" s="633" t="str">
        <f>Juni!D22</f>
        <v/>
      </c>
      <c r="Z16" s="634">
        <f>Aar!AS16</f>
        <v>14</v>
      </c>
      <c r="AA16" s="132" t="str">
        <f>Aar!AT16</f>
        <v>sø</v>
      </c>
      <c r="AB16" s="132" t="str">
        <f>Aar!AU16</f>
        <v>Weekend</v>
      </c>
      <c r="AC16" s="639" t="str">
        <f>Juli!DN22</f>
        <v/>
      </c>
      <c r="AD16" s="635" t="str">
        <f>Juli!D22</f>
        <v/>
      </c>
    </row>
    <row r="17" spans="1:30" ht="23" customHeight="1">
      <c r="A17" s="634">
        <f>Aar!Y17</f>
        <v>15</v>
      </c>
      <c r="B17" s="132" t="str">
        <f>Aar!Z17</f>
        <v>to</v>
      </c>
      <c r="C17" s="133" t="str">
        <f>Februar!C23</f>
        <v>Nul-dag</v>
      </c>
      <c r="D17" s="638" t="str">
        <f>Februar!DN23</f>
        <v>Elevernes vinterferie</v>
      </c>
      <c r="E17" s="637" t="str">
        <f>Aar!AB17</f>
        <v/>
      </c>
      <c r="F17" s="132">
        <f>Aar!AC17</f>
        <v>15</v>
      </c>
      <c r="G17" s="132" t="str">
        <f>Aar!AD17</f>
        <v>fr</v>
      </c>
      <c r="H17" s="132" t="str">
        <f>Aar!AE17</f>
        <v>Skema 1</v>
      </c>
      <c r="I17" s="639" t="str">
        <f>Marts!DN23</f>
        <v/>
      </c>
      <c r="J17" s="635" t="str">
        <f>Marts!D23</f>
        <v/>
      </c>
      <c r="K17" s="132">
        <f>Aar!AG17</f>
        <v>15</v>
      </c>
      <c r="L17" s="132" t="str">
        <f>Aar!AH17</f>
        <v>ma</v>
      </c>
      <c r="M17" s="132" t="str">
        <f>Aar!AI17</f>
        <v>Skema 1</v>
      </c>
      <c r="N17" s="639" t="str">
        <f>April!DN23</f>
        <v/>
      </c>
      <c r="O17" s="633">
        <f>April!D23</f>
        <v>16</v>
      </c>
      <c r="P17" s="634">
        <f>Aar!AK17</f>
        <v>15</v>
      </c>
      <c r="Q17" s="132" t="str">
        <f>Aar!AL17</f>
        <v>on</v>
      </c>
      <c r="R17" s="132" t="str">
        <f>Aar!AM17</f>
        <v>Skema 1</v>
      </c>
      <c r="S17" s="639" t="str">
        <f>Maj!DN23</f>
        <v/>
      </c>
      <c r="T17" s="635" t="str">
        <f>Maj!D23</f>
        <v/>
      </c>
      <c r="U17" s="634">
        <f>Aar!AO17</f>
        <v>15</v>
      </c>
      <c r="V17" s="132" t="str">
        <f>Aar!AP17</f>
        <v>lø</v>
      </c>
      <c r="W17" s="132" t="str">
        <f>Aar!AQ17</f>
        <v>Weekend</v>
      </c>
      <c r="X17" s="639" t="str">
        <f>Juni!DN23</f>
        <v/>
      </c>
      <c r="Y17" s="633" t="str">
        <f>Juni!D23</f>
        <v/>
      </c>
      <c r="Z17" s="634">
        <f>Aar!AS17</f>
        <v>15</v>
      </c>
      <c r="AA17" s="132" t="str">
        <f>Aar!AT17</f>
        <v>ma</v>
      </c>
      <c r="AB17" s="132" t="str">
        <f>Aar!AU17</f>
        <v>Feriedag</v>
      </c>
      <c r="AC17" s="639" t="str">
        <f>Juli!DN23</f>
        <v>Sommerferie</v>
      </c>
      <c r="AD17" s="635">
        <f>Juli!D23</f>
        <v>29</v>
      </c>
    </row>
    <row r="18" spans="1:30" ht="23" customHeight="1">
      <c r="A18" s="634">
        <f>Aar!Y18</f>
        <v>16</v>
      </c>
      <c r="B18" s="132" t="str">
        <f>Aar!Z18</f>
        <v>fr</v>
      </c>
      <c r="C18" s="133" t="str">
        <f>Februar!C24</f>
        <v>Nul-dag</v>
      </c>
      <c r="D18" s="638" t="str">
        <f>Februar!DN24</f>
        <v>Elevernes vinterferie</v>
      </c>
      <c r="E18" s="637" t="str">
        <f>Aar!AB18</f>
        <v/>
      </c>
      <c r="F18" s="132">
        <f>Aar!AC18</f>
        <v>16</v>
      </c>
      <c r="G18" s="132" t="str">
        <f>Aar!AD18</f>
        <v>lø</v>
      </c>
      <c r="H18" s="132" t="str">
        <f>Aar!AE18</f>
        <v>Weekend</v>
      </c>
      <c r="I18" s="639" t="str">
        <f>Marts!DN24</f>
        <v/>
      </c>
      <c r="J18" s="635" t="str">
        <f>Marts!D24</f>
        <v/>
      </c>
      <c r="K18" s="132">
        <f>Aar!AG18</f>
        <v>16</v>
      </c>
      <c r="L18" s="132" t="str">
        <f>Aar!AH18</f>
        <v>ti</v>
      </c>
      <c r="M18" s="132" t="str">
        <f>Aar!AI18</f>
        <v>Skema 1</v>
      </c>
      <c r="N18" s="639" t="str">
        <f>April!DN24</f>
        <v/>
      </c>
      <c r="O18" s="633" t="str">
        <f>April!D24</f>
        <v/>
      </c>
      <c r="P18" s="634">
        <f>Aar!AK18</f>
        <v>16</v>
      </c>
      <c r="Q18" s="132" t="str">
        <f>Aar!AL18</f>
        <v>to</v>
      </c>
      <c r="R18" s="132" t="str">
        <f>Aar!AM18</f>
        <v>Skema 1</v>
      </c>
      <c r="S18" s="639" t="str">
        <f>Maj!DN24</f>
        <v/>
      </c>
      <c r="T18" s="635" t="str">
        <f>Maj!D24</f>
        <v/>
      </c>
      <c r="U18" s="634">
        <f>Aar!AO18</f>
        <v>16</v>
      </c>
      <c r="V18" s="132" t="str">
        <f>Aar!AP18</f>
        <v>sø</v>
      </c>
      <c r="W18" s="132" t="str">
        <f>Aar!AQ18</f>
        <v>Weekend</v>
      </c>
      <c r="X18" s="639" t="str">
        <f>Juni!DN24</f>
        <v/>
      </c>
      <c r="Y18" s="633" t="str">
        <f>Juni!D24</f>
        <v/>
      </c>
      <c r="Z18" s="634">
        <f>Aar!AS18</f>
        <v>16</v>
      </c>
      <c r="AA18" s="132" t="str">
        <f>Aar!AT18</f>
        <v>ti</v>
      </c>
      <c r="AB18" s="132" t="str">
        <f>Aar!AU18</f>
        <v>Feriedag</v>
      </c>
      <c r="AC18" s="639" t="str">
        <f>Juli!DN24</f>
        <v>Sommerferie</v>
      </c>
      <c r="AD18" s="635" t="str">
        <f>Juli!D24</f>
        <v/>
      </c>
    </row>
    <row r="19" spans="1:30" ht="23" customHeight="1">
      <c r="A19" s="634">
        <f>Aar!Y19</f>
        <v>17</v>
      </c>
      <c r="B19" s="132" t="str">
        <f>Aar!Z19</f>
        <v>lø</v>
      </c>
      <c r="C19" s="133" t="str">
        <f>Februar!C25</f>
        <v>Weekend</v>
      </c>
      <c r="D19" s="638" t="str">
        <f>Februar!DN25</f>
        <v/>
      </c>
      <c r="E19" s="637" t="str">
        <f>Aar!AB19</f>
        <v/>
      </c>
      <c r="F19" s="132">
        <f>Aar!AC19</f>
        <v>17</v>
      </c>
      <c r="G19" s="132" t="str">
        <f>Aar!AD19</f>
        <v>sø</v>
      </c>
      <c r="H19" s="132" t="str">
        <f>Aar!AE19</f>
        <v>Weekend</v>
      </c>
      <c r="I19" s="639" t="str">
        <f>Marts!DN25</f>
        <v/>
      </c>
      <c r="J19" s="635" t="str">
        <f>Marts!D25</f>
        <v/>
      </c>
      <c r="K19" s="132">
        <f>Aar!AG19</f>
        <v>17</v>
      </c>
      <c r="L19" s="132" t="str">
        <f>Aar!AH19</f>
        <v>on</v>
      </c>
      <c r="M19" s="132" t="str">
        <f>Aar!AI19</f>
        <v>Skema 1</v>
      </c>
      <c r="N19" s="639" t="str">
        <f>April!DN25</f>
        <v/>
      </c>
      <c r="O19" s="633" t="str">
        <f>April!D25</f>
        <v/>
      </c>
      <c r="P19" s="634">
        <f>Aar!AK19</f>
        <v>17</v>
      </c>
      <c r="Q19" s="132" t="str">
        <f>Aar!AL19</f>
        <v>fr</v>
      </c>
      <c r="R19" s="132" t="str">
        <f>Aar!AM19</f>
        <v>Skema 1</v>
      </c>
      <c r="S19" s="639" t="str">
        <f>Maj!DN25</f>
        <v/>
      </c>
      <c r="T19" s="635" t="str">
        <f>Maj!D25</f>
        <v/>
      </c>
      <c r="U19" s="634">
        <f>Aar!AO19</f>
        <v>17</v>
      </c>
      <c r="V19" s="132" t="str">
        <f>Aar!AP19</f>
        <v>ma</v>
      </c>
      <c r="W19" s="132" t="str">
        <f>Aar!AQ19</f>
        <v>Skema 1</v>
      </c>
      <c r="X19" s="639" t="str">
        <f>Juni!DN25</f>
        <v/>
      </c>
      <c r="Y19" s="633">
        <f>Juni!D25</f>
        <v>25</v>
      </c>
      <c r="Z19" s="634">
        <f>Aar!AS19</f>
        <v>17</v>
      </c>
      <c r="AA19" s="132" t="str">
        <f>Aar!AT19</f>
        <v>on</v>
      </c>
      <c r="AB19" s="132" t="str">
        <f>Aar!AU19</f>
        <v>Feriedag</v>
      </c>
      <c r="AC19" s="639" t="str">
        <f>Juli!DN25</f>
        <v>Sommerferie</v>
      </c>
      <c r="AD19" s="635" t="str">
        <f>Juli!D25</f>
        <v/>
      </c>
    </row>
    <row r="20" spans="1:30" ht="23" customHeight="1">
      <c r="A20" s="634">
        <f>Aar!Y20</f>
        <v>18</v>
      </c>
      <c r="B20" s="132" t="str">
        <f>Aar!Z20</f>
        <v>sø</v>
      </c>
      <c r="C20" s="133" t="str">
        <f>Februar!C26</f>
        <v>Weekend</v>
      </c>
      <c r="D20" s="638" t="str">
        <f>Februar!DN26</f>
        <v/>
      </c>
      <c r="E20" s="637" t="str">
        <f>Aar!AB20</f>
        <v/>
      </c>
      <c r="F20" s="132">
        <f>Aar!AC20</f>
        <v>18</v>
      </c>
      <c r="G20" s="132" t="str">
        <f>Aar!AD20</f>
        <v>ma</v>
      </c>
      <c r="H20" s="132" t="str">
        <f>Aar!AE20</f>
        <v>Skema 1</v>
      </c>
      <c r="I20" s="639" t="str">
        <f>Marts!DN26</f>
        <v/>
      </c>
      <c r="J20" s="635">
        <f>Marts!D26</f>
        <v>12</v>
      </c>
      <c r="K20" s="132">
        <f>Aar!AG20</f>
        <v>18</v>
      </c>
      <c r="L20" s="132" t="str">
        <f>Aar!AH20</f>
        <v>to</v>
      </c>
      <c r="M20" s="132" t="str">
        <f>Aar!AI20</f>
        <v>Skema 1</v>
      </c>
      <c r="N20" s="639" t="str">
        <f>April!DN26</f>
        <v/>
      </c>
      <c r="O20" s="633" t="str">
        <f>April!D26</f>
        <v/>
      </c>
      <c r="P20" s="634">
        <f>Aar!AK20</f>
        <v>18</v>
      </c>
      <c r="Q20" s="132" t="str">
        <f>Aar!AL20</f>
        <v>lø</v>
      </c>
      <c r="R20" s="132" t="str">
        <f>Aar!AM20</f>
        <v>Weekend</v>
      </c>
      <c r="S20" s="639" t="str">
        <f>Maj!DN26</f>
        <v/>
      </c>
      <c r="T20" s="635" t="str">
        <f>Maj!D26</f>
        <v/>
      </c>
      <c r="U20" s="634">
        <f>Aar!AO20</f>
        <v>18</v>
      </c>
      <c r="V20" s="132" t="str">
        <f>Aar!AP20</f>
        <v>ti</v>
      </c>
      <c r="W20" s="132" t="str">
        <f>Aar!AQ20</f>
        <v>Skema 1</v>
      </c>
      <c r="X20" s="639" t="str">
        <f>Juni!DN26</f>
        <v/>
      </c>
      <c r="Y20" s="633" t="str">
        <f>Juni!D26</f>
        <v/>
      </c>
      <c r="Z20" s="634">
        <f>Aar!AS20</f>
        <v>18</v>
      </c>
      <c r="AA20" s="132" t="str">
        <f>Aar!AT20</f>
        <v>to</v>
      </c>
      <c r="AB20" s="132" t="str">
        <f>Aar!AU20</f>
        <v>Feriedag</v>
      </c>
      <c r="AC20" s="639" t="str">
        <f>Juli!DN26</f>
        <v>Sommerferie</v>
      </c>
      <c r="AD20" s="635" t="str">
        <f>Juli!D26</f>
        <v/>
      </c>
    </row>
    <row r="21" spans="1:30" ht="23" customHeight="1">
      <c r="A21" s="634">
        <f>Aar!Y21</f>
        <v>19</v>
      </c>
      <c r="B21" s="132" t="str">
        <f>Aar!Z21</f>
        <v>ma</v>
      </c>
      <c r="C21" s="133" t="str">
        <f>Februar!C27</f>
        <v>Skema 1</v>
      </c>
      <c r="D21" s="638" t="str">
        <f>Februar!DN27</f>
        <v/>
      </c>
      <c r="E21" s="637">
        <f>Aar!AB21</f>
        <v>8</v>
      </c>
      <c r="F21" s="132">
        <f>Aar!AC21</f>
        <v>19</v>
      </c>
      <c r="G21" s="132" t="str">
        <f>Aar!AD21</f>
        <v>ti</v>
      </c>
      <c r="H21" s="132" t="str">
        <f>Aar!AE21</f>
        <v>Skema 1</v>
      </c>
      <c r="I21" s="639" t="str">
        <f>Marts!DN27</f>
        <v/>
      </c>
      <c r="J21" s="635" t="str">
        <f>Marts!D27</f>
        <v/>
      </c>
      <c r="K21" s="132">
        <f>Aar!AG21</f>
        <v>19</v>
      </c>
      <c r="L21" s="132" t="str">
        <f>Aar!AH21</f>
        <v>fr</v>
      </c>
      <c r="M21" s="132" t="str">
        <f>Aar!AI21</f>
        <v>Skema 1</v>
      </c>
      <c r="N21" s="639" t="str">
        <f>April!DN27</f>
        <v/>
      </c>
      <c r="O21" s="633" t="str">
        <f>April!D27</f>
        <v/>
      </c>
      <c r="P21" s="634">
        <f>Aar!AK21</f>
        <v>19</v>
      </c>
      <c r="Q21" s="132" t="str">
        <f>Aar!AL21</f>
        <v>sø</v>
      </c>
      <c r="R21" s="132" t="str">
        <f>Aar!AM21</f>
        <v>Weekend</v>
      </c>
      <c r="S21" s="639" t="str">
        <f>Maj!DN27</f>
        <v>Pinsedag</v>
      </c>
      <c r="T21" s="635" t="str">
        <f>Maj!D27</f>
        <v/>
      </c>
      <c r="U21" s="634">
        <f>Aar!AO21</f>
        <v>19</v>
      </c>
      <c r="V21" s="132" t="str">
        <f>Aar!AP21</f>
        <v>on</v>
      </c>
      <c r="W21" s="132" t="str">
        <f>Aar!AQ21</f>
        <v>Skema 1</v>
      </c>
      <c r="X21" s="639" t="str">
        <f>Juni!DN27</f>
        <v/>
      </c>
      <c r="Y21" s="633" t="str">
        <f>Juni!D27</f>
        <v/>
      </c>
      <c r="Z21" s="634">
        <f>Aar!AS21</f>
        <v>19</v>
      </c>
      <c r="AA21" s="132" t="str">
        <f>Aar!AT21</f>
        <v>fr</v>
      </c>
      <c r="AB21" s="132" t="str">
        <f>Aar!AU21</f>
        <v>Feriedag</v>
      </c>
      <c r="AC21" s="639" t="str">
        <f>Juli!DN27</f>
        <v>Sommerferie</v>
      </c>
      <c r="AD21" s="635" t="str">
        <f>Juli!D27</f>
        <v/>
      </c>
    </row>
    <row r="22" spans="1:30" ht="23" customHeight="1">
      <c r="A22" s="634">
        <f>Aar!Y22</f>
        <v>20</v>
      </c>
      <c r="B22" s="132" t="str">
        <f>Aar!Z22</f>
        <v>ti</v>
      </c>
      <c r="C22" s="133" t="str">
        <f>Februar!C28</f>
        <v>Skema 1</v>
      </c>
      <c r="D22" s="638" t="str">
        <f>Februar!DN28</f>
        <v/>
      </c>
      <c r="E22" s="637" t="str">
        <f>Aar!AB22</f>
        <v/>
      </c>
      <c r="F22" s="132">
        <f>Aar!AC22</f>
        <v>20</v>
      </c>
      <c r="G22" s="132" t="str">
        <f>Aar!AD22</f>
        <v>on</v>
      </c>
      <c r="H22" s="132" t="str">
        <f>Aar!AE22</f>
        <v>Skema 1</v>
      </c>
      <c r="I22" s="639" t="str">
        <f>Marts!DN28</f>
        <v/>
      </c>
      <c r="J22" s="635" t="str">
        <f>Marts!D28</f>
        <v/>
      </c>
      <c r="K22" s="132">
        <f>Aar!AG22</f>
        <v>20</v>
      </c>
      <c r="L22" s="132" t="str">
        <f>Aar!AH22</f>
        <v>lø</v>
      </c>
      <c r="M22" s="132" t="str">
        <f>Aar!AI22</f>
        <v>Weekend</v>
      </c>
      <c r="N22" s="639" t="str">
        <f>April!DN28</f>
        <v/>
      </c>
      <c r="O22" s="633" t="str">
        <f>April!D28</f>
        <v/>
      </c>
      <c r="P22" s="634">
        <f>Aar!AK22</f>
        <v>20</v>
      </c>
      <c r="Q22" s="132" t="str">
        <f>Aar!AL22</f>
        <v>ma</v>
      </c>
      <c r="R22" s="132" t="str">
        <f>Aar!AM22</f>
        <v>SH-dag</v>
      </c>
      <c r="S22" s="639" t="str">
        <f>Maj!DN28</f>
        <v>2. pinsedag</v>
      </c>
      <c r="T22" s="635">
        <f>Maj!D28</f>
        <v>21</v>
      </c>
      <c r="U22" s="634">
        <f>Aar!AO22</f>
        <v>20</v>
      </c>
      <c r="V22" s="132" t="str">
        <f>Aar!AP22</f>
        <v>to</v>
      </c>
      <c r="W22" s="132" t="str">
        <f>Aar!AQ22</f>
        <v>Skema 1</v>
      </c>
      <c r="X22" s="639" t="str">
        <f>Juni!DN28</f>
        <v/>
      </c>
      <c r="Y22" s="633" t="str">
        <f>Juni!D28</f>
        <v/>
      </c>
      <c r="Z22" s="634">
        <f>Aar!AS22</f>
        <v>20</v>
      </c>
      <c r="AA22" s="132" t="str">
        <f>Aar!AT22</f>
        <v>lø</v>
      </c>
      <c r="AB22" s="132" t="str">
        <f>Aar!AU22</f>
        <v>Weekend</v>
      </c>
      <c r="AC22" s="639" t="str">
        <f>Juli!DN28</f>
        <v/>
      </c>
      <c r="AD22" s="635" t="str">
        <f>Juli!D28</f>
        <v/>
      </c>
    </row>
    <row r="23" spans="1:30" ht="23" customHeight="1">
      <c r="A23" s="634">
        <f>Aar!Y23</f>
        <v>21</v>
      </c>
      <c r="B23" s="132" t="str">
        <f>Aar!Z23</f>
        <v>on</v>
      </c>
      <c r="C23" s="133" t="str">
        <f>Februar!C29</f>
        <v>Skema 1</v>
      </c>
      <c r="D23" s="638" t="str">
        <f>Februar!DN29</f>
        <v/>
      </c>
      <c r="E23" s="637" t="str">
        <f>Aar!AB23</f>
        <v/>
      </c>
      <c r="F23" s="132">
        <f>Aar!AC23</f>
        <v>21</v>
      </c>
      <c r="G23" s="132" t="str">
        <f>Aar!AD23</f>
        <v>to</v>
      </c>
      <c r="H23" s="132" t="str">
        <f>Aar!AE23</f>
        <v>Skema 1</v>
      </c>
      <c r="I23" s="639" t="str">
        <f>Marts!DN29</f>
        <v/>
      </c>
      <c r="J23" s="635" t="str">
        <f>Marts!D29</f>
        <v/>
      </c>
      <c r="K23" s="132">
        <f>Aar!AG23</f>
        <v>21</v>
      </c>
      <c r="L23" s="132" t="str">
        <f>Aar!AH23</f>
        <v>sø</v>
      </c>
      <c r="M23" s="132" t="str">
        <f>Aar!AI23</f>
        <v>Weekend</v>
      </c>
      <c r="N23" s="639" t="str">
        <f>April!DN29</f>
        <v/>
      </c>
      <c r="O23" s="633" t="str">
        <f>April!D29</f>
        <v/>
      </c>
      <c r="P23" s="634">
        <f>Aar!AK23</f>
        <v>21</v>
      </c>
      <c r="Q23" s="132" t="str">
        <f>Aar!AL23</f>
        <v>ti</v>
      </c>
      <c r="R23" s="132" t="str">
        <f>Aar!AM23</f>
        <v>Skema 1</v>
      </c>
      <c r="S23" s="639" t="str">
        <f>Maj!DN29</f>
        <v/>
      </c>
      <c r="T23" s="635" t="str">
        <f>Maj!D29</f>
        <v/>
      </c>
      <c r="U23" s="634">
        <f>Aar!AO23</f>
        <v>21</v>
      </c>
      <c r="V23" s="132" t="str">
        <f>Aar!AP23</f>
        <v>fr</v>
      </c>
      <c r="W23" s="132" t="str">
        <f>Aar!AQ23</f>
        <v>Skema 1</v>
      </c>
      <c r="X23" s="639" t="str">
        <f>Juni!DN29</f>
        <v/>
      </c>
      <c r="Y23" s="633" t="str">
        <f>Juni!D29</f>
        <v/>
      </c>
      <c r="Z23" s="634">
        <f>Aar!AS23</f>
        <v>21</v>
      </c>
      <c r="AA23" s="132" t="str">
        <f>Aar!AT23</f>
        <v>sø</v>
      </c>
      <c r="AB23" s="132" t="str">
        <f>Aar!AU23</f>
        <v>Weekend</v>
      </c>
      <c r="AC23" s="639" t="str">
        <f>Juli!DN29</f>
        <v/>
      </c>
      <c r="AD23" s="635" t="str">
        <f>Juli!D29</f>
        <v/>
      </c>
    </row>
    <row r="24" spans="1:30" ht="23" customHeight="1">
      <c r="A24" s="634">
        <f>Aar!Y24</f>
        <v>22</v>
      </c>
      <c r="B24" s="132" t="str">
        <f>Aar!Z24</f>
        <v>to</v>
      </c>
      <c r="C24" s="133" t="str">
        <f>Februar!C30</f>
        <v>Skema 1</v>
      </c>
      <c r="D24" s="638" t="str">
        <f>Februar!DN30</f>
        <v/>
      </c>
      <c r="E24" s="637" t="str">
        <f>Aar!AB24</f>
        <v/>
      </c>
      <c r="F24" s="132">
        <f>Aar!AC24</f>
        <v>22</v>
      </c>
      <c r="G24" s="132" t="str">
        <f>Aar!AD24</f>
        <v>fr</v>
      </c>
      <c r="H24" s="132" t="str">
        <f>Aar!AE24</f>
        <v>Skema 1</v>
      </c>
      <c r="I24" s="639" t="str">
        <f>Marts!DN30</f>
        <v/>
      </c>
      <c r="J24" s="635" t="str">
        <f>Marts!D30</f>
        <v/>
      </c>
      <c r="K24" s="132">
        <f>Aar!AG24</f>
        <v>22</v>
      </c>
      <c r="L24" s="132" t="str">
        <f>Aar!AH24</f>
        <v>ma</v>
      </c>
      <c r="M24" s="132" t="str">
        <f>Aar!AI24</f>
        <v>Skema 1</v>
      </c>
      <c r="N24" s="639" t="str">
        <f>April!DN30</f>
        <v/>
      </c>
      <c r="O24" s="633">
        <f>April!D30</f>
        <v>17</v>
      </c>
      <c r="P24" s="634">
        <f>Aar!AK24</f>
        <v>22</v>
      </c>
      <c r="Q24" s="132" t="str">
        <f>Aar!AL24</f>
        <v>on</v>
      </c>
      <c r="R24" s="132" t="str">
        <f>Aar!AM24</f>
        <v>Skema 1</v>
      </c>
      <c r="S24" s="639" t="str">
        <f>Maj!DN30</f>
        <v/>
      </c>
      <c r="T24" s="635" t="str">
        <f>Maj!D30</f>
        <v/>
      </c>
      <c r="U24" s="634">
        <f>Aar!AO24</f>
        <v>22</v>
      </c>
      <c r="V24" s="132" t="str">
        <f>Aar!AP24</f>
        <v>lø</v>
      </c>
      <c r="W24" s="132" t="str">
        <f>Aar!AQ24</f>
        <v>Weekend</v>
      </c>
      <c r="X24" s="639" t="str">
        <f>Juni!DN30</f>
        <v/>
      </c>
      <c r="Y24" s="633" t="str">
        <f>Juni!D30</f>
        <v/>
      </c>
      <c r="Z24" s="634">
        <f>Aar!AS24</f>
        <v>22</v>
      </c>
      <c r="AA24" s="132" t="str">
        <f>Aar!AT24</f>
        <v>ma</v>
      </c>
      <c r="AB24" s="132" t="str">
        <f>Aar!AU24</f>
        <v>Feriedag</v>
      </c>
      <c r="AC24" s="639" t="str">
        <f>Juli!DN30</f>
        <v>Sommerferie</v>
      </c>
      <c r="AD24" s="635">
        <f>Juli!D30</f>
        <v>30</v>
      </c>
    </row>
    <row r="25" spans="1:30" ht="23" customHeight="1">
      <c r="A25" s="634">
        <f>Aar!Y25</f>
        <v>23</v>
      </c>
      <c r="B25" s="132" t="str">
        <f>Aar!Z25</f>
        <v>fr</v>
      </c>
      <c r="C25" s="133" t="str">
        <f>Februar!C31</f>
        <v>Skema 1</v>
      </c>
      <c r="D25" s="638" t="str">
        <f>Februar!DN31</f>
        <v/>
      </c>
      <c r="E25" s="637" t="str">
        <f>Aar!AB25</f>
        <v/>
      </c>
      <c r="F25" s="132">
        <f>Aar!AC25</f>
        <v>23</v>
      </c>
      <c r="G25" s="132" t="str">
        <f>Aar!AD25</f>
        <v>lø</v>
      </c>
      <c r="H25" s="132" t="str">
        <f>Aar!AE25</f>
        <v>Weekend</v>
      </c>
      <c r="I25" s="639" t="str">
        <f>Marts!DN31</f>
        <v/>
      </c>
      <c r="J25" s="635" t="str">
        <f>Marts!D31</f>
        <v/>
      </c>
      <c r="K25" s="132">
        <f>Aar!AG25</f>
        <v>23</v>
      </c>
      <c r="L25" s="132" t="str">
        <f>Aar!AH25</f>
        <v>ti</v>
      </c>
      <c r="M25" s="132" t="str">
        <f>Aar!AI25</f>
        <v>Skema 1</v>
      </c>
      <c r="N25" s="639" t="str">
        <f>April!DN31</f>
        <v/>
      </c>
      <c r="O25" s="633" t="str">
        <f>April!D31</f>
        <v/>
      </c>
      <c r="P25" s="634">
        <f>Aar!AK25</f>
        <v>23</v>
      </c>
      <c r="Q25" s="132" t="str">
        <f>Aar!AL25</f>
        <v>to</v>
      </c>
      <c r="R25" s="132" t="str">
        <f>Aar!AM25</f>
        <v>Skema 1</v>
      </c>
      <c r="S25" s="639" t="str">
        <f>Maj!DN31</f>
        <v/>
      </c>
      <c r="T25" s="635" t="str">
        <f>Maj!D31</f>
        <v/>
      </c>
      <c r="U25" s="634">
        <f>Aar!AO25</f>
        <v>23</v>
      </c>
      <c r="V25" s="132" t="str">
        <f>Aar!AP25</f>
        <v>sø</v>
      </c>
      <c r="W25" s="132" t="str">
        <f>Aar!AQ25</f>
        <v>Weekend</v>
      </c>
      <c r="X25" s="639" t="str">
        <f>Juni!DN31</f>
        <v/>
      </c>
      <c r="Y25" s="633" t="str">
        <f>Juni!D31</f>
        <v/>
      </c>
      <c r="Z25" s="634">
        <f>Aar!AS25</f>
        <v>23</v>
      </c>
      <c r="AA25" s="132" t="str">
        <f>Aar!AT25</f>
        <v>ti</v>
      </c>
      <c r="AB25" s="132" t="str">
        <f>Aar!AU25</f>
        <v>Feriedag</v>
      </c>
      <c r="AC25" s="639" t="str">
        <f>Juli!DN31</f>
        <v>Sommerferie</v>
      </c>
      <c r="AD25" s="635" t="str">
        <f>Juli!D31</f>
        <v/>
      </c>
    </row>
    <row r="26" spans="1:30" ht="23" customHeight="1">
      <c r="A26" s="634">
        <f>Aar!Y26</f>
        <v>24</v>
      </c>
      <c r="B26" s="132" t="str">
        <f>Aar!Z26</f>
        <v>lø</v>
      </c>
      <c r="C26" s="133" t="str">
        <f>Februar!C32</f>
        <v>Weekend</v>
      </c>
      <c r="D26" s="638" t="str">
        <f>Februar!DN32</f>
        <v/>
      </c>
      <c r="E26" s="637" t="str">
        <f>Aar!AB26</f>
        <v/>
      </c>
      <c r="F26" s="132">
        <f>Aar!AC26</f>
        <v>24</v>
      </c>
      <c r="G26" s="132" t="str">
        <f>Aar!AD26</f>
        <v>sø</v>
      </c>
      <c r="H26" s="132" t="str">
        <f>Aar!AE26</f>
        <v>Weekend</v>
      </c>
      <c r="I26" s="639" t="str">
        <f>Marts!DN32</f>
        <v>Palmesøndag</v>
      </c>
      <c r="J26" s="635" t="str">
        <f>Marts!D32</f>
        <v/>
      </c>
      <c r="K26" s="132">
        <f>Aar!AG26</f>
        <v>24</v>
      </c>
      <c r="L26" s="132" t="str">
        <f>Aar!AH26</f>
        <v>on</v>
      </c>
      <c r="M26" s="132" t="str">
        <f>Aar!AI26</f>
        <v>Skema 1</v>
      </c>
      <c r="N26" s="639" t="str">
        <f>April!DN32</f>
        <v/>
      </c>
      <c r="O26" s="633" t="str">
        <f>April!D32</f>
        <v/>
      </c>
      <c r="P26" s="634">
        <f>Aar!AK26</f>
        <v>24</v>
      </c>
      <c r="Q26" s="132" t="str">
        <f>Aar!AL26</f>
        <v>fr</v>
      </c>
      <c r="R26" s="132" t="str">
        <f>Aar!AM26</f>
        <v>Skema 1</v>
      </c>
      <c r="S26" s="639" t="str">
        <f>Maj!DN32</f>
        <v/>
      </c>
      <c r="T26" s="635" t="str">
        <f>Maj!D32</f>
        <v/>
      </c>
      <c r="U26" s="634">
        <f>Aar!AO26</f>
        <v>24</v>
      </c>
      <c r="V26" s="132" t="str">
        <f>Aar!AP26</f>
        <v>ma</v>
      </c>
      <c r="W26" s="132" t="str">
        <f>Aar!AQ26</f>
        <v>Skema 1</v>
      </c>
      <c r="X26" s="639" t="str">
        <f>Juni!DN32</f>
        <v/>
      </c>
      <c r="Y26" s="633">
        <f>Juni!D32</f>
        <v>26</v>
      </c>
      <c r="Z26" s="634">
        <f>Aar!AS26</f>
        <v>24</v>
      </c>
      <c r="AA26" s="132" t="str">
        <f>Aar!AT26</f>
        <v>on</v>
      </c>
      <c r="AB26" s="132" t="str">
        <f>Aar!AU26</f>
        <v>Feriedag</v>
      </c>
      <c r="AC26" s="639" t="str">
        <f>Juli!DN32</f>
        <v>Sommerferie</v>
      </c>
      <c r="AD26" s="635" t="str">
        <f>Juli!D32</f>
        <v/>
      </c>
    </row>
    <row r="27" spans="1:30" ht="23" customHeight="1">
      <c r="A27" s="634">
        <f>Aar!Y27</f>
        <v>25</v>
      </c>
      <c r="B27" s="132" t="str">
        <f>Aar!Z27</f>
        <v>sø</v>
      </c>
      <c r="C27" s="133" t="str">
        <f>Februar!C33</f>
        <v>Weekend</v>
      </c>
      <c r="D27" s="638" t="str">
        <f>Februar!DN33</f>
        <v/>
      </c>
      <c r="E27" s="637" t="str">
        <f>Aar!AB27</f>
        <v/>
      </c>
      <c r="F27" s="132">
        <f>Aar!AC27</f>
        <v>25</v>
      </c>
      <c r="G27" s="132" t="str">
        <f>Aar!AD27</f>
        <v>ma</v>
      </c>
      <c r="H27" s="132" t="str">
        <f>Aar!AE27</f>
        <v>Nul-dag</v>
      </c>
      <c r="I27" s="639" t="str">
        <f>Marts!DN33</f>
        <v/>
      </c>
      <c r="J27" s="635">
        <f>Marts!D33</f>
        <v>13</v>
      </c>
      <c r="K27" s="132">
        <f>Aar!AG27</f>
        <v>25</v>
      </c>
      <c r="L27" s="132" t="str">
        <f>Aar!AH27</f>
        <v>to</v>
      </c>
      <c r="M27" s="132" t="str">
        <f>Aar!AI27</f>
        <v>Skema 1</v>
      </c>
      <c r="N27" s="639" t="str">
        <f>April!DN33</f>
        <v/>
      </c>
      <c r="O27" s="633" t="str">
        <f>April!D33</f>
        <v/>
      </c>
      <c r="P27" s="634">
        <f>Aar!AK27</f>
        <v>25</v>
      </c>
      <c r="Q27" s="132" t="str">
        <f>Aar!AL27</f>
        <v>lø</v>
      </c>
      <c r="R27" s="132" t="str">
        <f>Aar!AM27</f>
        <v>Weekend</v>
      </c>
      <c r="S27" s="639" t="str">
        <f>Maj!DN33</f>
        <v/>
      </c>
      <c r="T27" s="635" t="str">
        <f>Maj!D33</f>
        <v/>
      </c>
      <c r="U27" s="634">
        <f>Aar!AO27</f>
        <v>25</v>
      </c>
      <c r="V27" s="132" t="str">
        <f>Aar!AP27</f>
        <v>ti</v>
      </c>
      <c r="W27" s="132" t="str">
        <f>Aar!AQ27</f>
        <v>Skema 1</v>
      </c>
      <c r="X27" s="639" t="str">
        <f>Juni!DN33</f>
        <v/>
      </c>
      <c r="Y27" s="633" t="str">
        <f>Juni!D33</f>
        <v/>
      </c>
      <c r="Z27" s="634">
        <f>Aar!AS27</f>
        <v>25</v>
      </c>
      <c r="AA27" s="132" t="str">
        <f>Aar!AT27</f>
        <v>to</v>
      </c>
      <c r="AB27" s="132" t="str">
        <f>Aar!AU27</f>
        <v>Feriedag</v>
      </c>
      <c r="AC27" s="639" t="str">
        <f>Juli!DN33</f>
        <v>Sommerferie</v>
      </c>
      <c r="AD27" s="635" t="str">
        <f>Juli!D33</f>
        <v/>
      </c>
    </row>
    <row r="28" spans="1:30" ht="23" customHeight="1">
      <c r="A28" s="634">
        <f>Aar!Y28</f>
        <v>26</v>
      </c>
      <c r="B28" s="132" t="str">
        <f>Aar!Z28</f>
        <v>ma</v>
      </c>
      <c r="C28" s="133" t="str">
        <f>Februar!C34</f>
        <v>Skema 1</v>
      </c>
      <c r="D28" s="638" t="str">
        <f>Februar!DN34</f>
        <v/>
      </c>
      <c r="E28" s="637">
        <f>Aar!AB28</f>
        <v>9</v>
      </c>
      <c r="F28" s="132">
        <f>Aar!AC28</f>
        <v>26</v>
      </c>
      <c r="G28" s="132" t="str">
        <f>Aar!AD28</f>
        <v>ti</v>
      </c>
      <c r="H28" s="132" t="str">
        <f>Aar!AE28</f>
        <v>Nul-dag</v>
      </c>
      <c r="I28" s="639" t="str">
        <f>Marts!DN34</f>
        <v/>
      </c>
      <c r="J28" s="635" t="str">
        <f>Marts!D34</f>
        <v/>
      </c>
      <c r="K28" s="132">
        <f>Aar!AG28</f>
        <v>26</v>
      </c>
      <c r="L28" s="132" t="str">
        <f>Aar!AH28</f>
        <v>fr</v>
      </c>
      <c r="M28" s="132" t="str">
        <f>Aar!AI28</f>
        <v>Skema 1</v>
      </c>
      <c r="N28" s="639" t="str">
        <f>April!DN34</f>
        <v/>
      </c>
      <c r="O28" s="633" t="str">
        <f>April!D34</f>
        <v/>
      </c>
      <c r="P28" s="634">
        <f>Aar!AK28</f>
        <v>26</v>
      </c>
      <c r="Q28" s="132" t="str">
        <f>Aar!AL28</f>
        <v>sø</v>
      </c>
      <c r="R28" s="132" t="str">
        <f>Aar!AM28</f>
        <v>Weekend</v>
      </c>
      <c r="S28" s="639" t="str">
        <f>Maj!DN34</f>
        <v/>
      </c>
      <c r="T28" s="635" t="str">
        <f>Maj!D34</f>
        <v/>
      </c>
      <c r="U28" s="634">
        <f>Aar!AO28</f>
        <v>26</v>
      </c>
      <c r="V28" s="132" t="str">
        <f>Aar!AP28</f>
        <v>on</v>
      </c>
      <c r="W28" s="132" t="str">
        <f>Aar!AQ28</f>
        <v>Skema 1</v>
      </c>
      <c r="X28" s="639" t="str">
        <f>Juni!DN34</f>
        <v/>
      </c>
      <c r="Y28" s="633" t="str">
        <f>Juni!D34</f>
        <v/>
      </c>
      <c r="Z28" s="634">
        <f>Aar!AS28</f>
        <v>26</v>
      </c>
      <c r="AA28" s="132" t="str">
        <f>Aar!AT28</f>
        <v>fr</v>
      </c>
      <c r="AB28" s="132" t="str">
        <f>Aar!AU28</f>
        <v>Feriedag</v>
      </c>
      <c r="AC28" s="639" t="str">
        <f>Juli!DN34</f>
        <v>Sommerferie</v>
      </c>
      <c r="AD28" s="635" t="str">
        <f>Juli!D34</f>
        <v/>
      </c>
    </row>
    <row r="29" spans="1:30" ht="23" customHeight="1">
      <c r="A29" s="634">
        <f>Aar!Y29</f>
        <v>27</v>
      </c>
      <c r="B29" s="132" t="str">
        <f>Aar!Z29</f>
        <v>ti</v>
      </c>
      <c r="C29" s="133" t="str">
        <f>Februar!C35</f>
        <v>Skema 1</v>
      </c>
      <c r="D29" s="638" t="str">
        <f>Februar!DN35</f>
        <v/>
      </c>
      <c r="E29" s="637" t="str">
        <f>Aar!AB29</f>
        <v/>
      </c>
      <c r="F29" s="132">
        <f>Aar!AC29</f>
        <v>27</v>
      </c>
      <c r="G29" s="132" t="str">
        <f>Aar!AD29</f>
        <v>on</v>
      </c>
      <c r="H29" s="132" t="str">
        <f>Aar!AE29</f>
        <v>Nul-dag</v>
      </c>
      <c r="I29" s="639" t="str">
        <f>Marts!DN35</f>
        <v/>
      </c>
      <c r="J29" s="635" t="str">
        <f>Marts!D35</f>
        <v/>
      </c>
      <c r="K29" s="132">
        <f>Aar!AG29</f>
        <v>27</v>
      </c>
      <c r="L29" s="132" t="str">
        <f>Aar!AH29</f>
        <v>lø</v>
      </c>
      <c r="M29" s="132" t="str">
        <f>Aar!AI29</f>
        <v>Weekend</v>
      </c>
      <c r="N29" s="639" t="str">
        <f>April!DN35</f>
        <v/>
      </c>
      <c r="O29" s="633" t="str">
        <f>April!D35</f>
        <v/>
      </c>
      <c r="P29" s="634">
        <f>Aar!AK29</f>
        <v>27</v>
      </c>
      <c r="Q29" s="132" t="str">
        <f>Aar!AL29</f>
        <v>ma</v>
      </c>
      <c r="R29" s="132" t="str">
        <f>Aar!AM29</f>
        <v>Skema 1</v>
      </c>
      <c r="S29" s="639" t="str">
        <f>Maj!DN35</f>
        <v/>
      </c>
      <c r="T29" s="635">
        <f>Maj!D35</f>
        <v>22</v>
      </c>
      <c r="U29" s="634">
        <f>Aar!AO29</f>
        <v>27</v>
      </c>
      <c r="V29" s="132" t="str">
        <f>Aar!AP29</f>
        <v>to</v>
      </c>
      <c r="W29" s="132" t="str">
        <f>Aar!AQ29</f>
        <v>Skema 1</v>
      </c>
      <c r="X29" s="639" t="str">
        <f>Juni!DN35</f>
        <v/>
      </c>
      <c r="Y29" s="633" t="str">
        <f>Juni!D35</f>
        <v/>
      </c>
      <c r="Z29" s="634">
        <f>Aar!AS29</f>
        <v>27</v>
      </c>
      <c r="AA29" s="132" t="str">
        <f>Aar!AT29</f>
        <v>lø</v>
      </c>
      <c r="AB29" s="132" t="str">
        <f>Aar!AU29</f>
        <v>Weekend</v>
      </c>
      <c r="AC29" s="639" t="str">
        <f>Juli!DN35</f>
        <v/>
      </c>
      <c r="AD29" s="635" t="str">
        <f>Juli!D35</f>
        <v/>
      </c>
    </row>
    <row r="30" spans="1:30" ht="23" customHeight="1">
      <c r="A30" s="634">
        <f>Aar!Y30</f>
        <v>28</v>
      </c>
      <c r="B30" s="132" t="str">
        <f>Aar!Z30</f>
        <v>on</v>
      </c>
      <c r="C30" s="133" t="str">
        <f>Februar!C36</f>
        <v>Skema 1</v>
      </c>
      <c r="D30" s="638" t="str">
        <f>Februar!DN36</f>
        <v/>
      </c>
      <c r="E30" s="637" t="str">
        <f>Aar!AB30</f>
        <v/>
      </c>
      <c r="F30" s="132">
        <f>Aar!AC30</f>
        <v>28</v>
      </c>
      <c r="G30" s="132" t="str">
        <f>Aar!AD30</f>
        <v>to</v>
      </c>
      <c r="H30" s="132" t="str">
        <f>Aar!AE30</f>
        <v>SH-dag</v>
      </c>
      <c r="I30" s="639" t="str">
        <f>Marts!DN36</f>
        <v>Skærtorsdag</v>
      </c>
      <c r="J30" s="635" t="str">
        <f>Marts!D36</f>
        <v/>
      </c>
      <c r="K30" s="132">
        <f>Aar!AG30</f>
        <v>28</v>
      </c>
      <c r="L30" s="132" t="str">
        <f>Aar!AH30</f>
        <v>sø</v>
      </c>
      <c r="M30" s="132" t="str">
        <f>Aar!AI30</f>
        <v>Weekend</v>
      </c>
      <c r="N30" s="639" t="str">
        <f>April!DN36</f>
        <v/>
      </c>
      <c r="O30" s="633" t="str">
        <f>April!D36</f>
        <v/>
      </c>
      <c r="P30" s="634">
        <f>Aar!AK30</f>
        <v>28</v>
      </c>
      <c r="Q30" s="132" t="str">
        <f>Aar!AL30</f>
        <v>ti</v>
      </c>
      <c r="R30" s="132" t="str">
        <f>Aar!AM30</f>
        <v>Skema 1</v>
      </c>
      <c r="S30" s="639" t="str">
        <f>Maj!DN36</f>
        <v/>
      </c>
      <c r="T30" s="635" t="str">
        <f>Maj!D36</f>
        <v/>
      </c>
      <c r="U30" s="634">
        <f>Aar!AO30</f>
        <v>28</v>
      </c>
      <c r="V30" s="132" t="str">
        <f>Aar!AP30</f>
        <v>fr</v>
      </c>
      <c r="W30" s="132" t="str">
        <f>Aar!AQ30</f>
        <v>Skema 1</v>
      </c>
      <c r="X30" s="639" t="str">
        <f>Juni!DN36</f>
        <v/>
      </c>
      <c r="Y30" s="633" t="str">
        <f>Juni!D36</f>
        <v/>
      </c>
      <c r="Z30" s="634">
        <f>Aar!AS30</f>
        <v>28</v>
      </c>
      <c r="AA30" s="132" t="str">
        <f>Aar!AT30</f>
        <v>sø</v>
      </c>
      <c r="AB30" s="132" t="str">
        <f>Aar!AU30</f>
        <v>Weekend</v>
      </c>
      <c r="AC30" s="639" t="str">
        <f>Juli!DN36</f>
        <v/>
      </c>
      <c r="AD30" s="635" t="str">
        <f>Juli!D36</f>
        <v/>
      </c>
    </row>
    <row r="31" spans="1:30" ht="23" customHeight="1">
      <c r="A31" s="634">
        <f>Aar!Y31</f>
        <v>29</v>
      </c>
      <c r="B31" s="132" t="str">
        <f>Aar!Z31</f>
        <v>to</v>
      </c>
      <c r="C31" s="133" t="str">
        <f>Februar!C37</f>
        <v>Skema 1</v>
      </c>
      <c r="D31" s="638" t="str">
        <f>Februar!DN37</f>
        <v/>
      </c>
      <c r="E31" s="637" t="str">
        <f>Aar!AB31</f>
        <v/>
      </c>
      <c r="F31" s="132">
        <f>Aar!AC31</f>
        <v>29</v>
      </c>
      <c r="G31" s="132" t="str">
        <f>Aar!AD31</f>
        <v>fr</v>
      </c>
      <c r="H31" s="132" t="str">
        <f>Aar!AE31</f>
        <v>SH-dag</v>
      </c>
      <c r="I31" s="639" t="str">
        <f>Marts!DN37</f>
        <v>Langfredag</v>
      </c>
      <c r="J31" s="635" t="str">
        <f>Marts!D37</f>
        <v/>
      </c>
      <c r="K31" s="132">
        <f>Aar!AG31</f>
        <v>29</v>
      </c>
      <c r="L31" s="132" t="str">
        <f>Aar!AH31</f>
        <v>ma</v>
      </c>
      <c r="M31" s="132" t="str">
        <f>Aar!AI31</f>
        <v>Skema 1</v>
      </c>
      <c r="N31" s="639" t="str">
        <f>April!DN37</f>
        <v/>
      </c>
      <c r="O31" s="633">
        <f>April!D37</f>
        <v>18</v>
      </c>
      <c r="P31" s="634">
        <f>Aar!AK31</f>
        <v>29</v>
      </c>
      <c r="Q31" s="132" t="str">
        <f>Aar!AL31</f>
        <v>on</v>
      </c>
      <c r="R31" s="132" t="str">
        <f>Aar!AM31</f>
        <v>Skema 1</v>
      </c>
      <c r="S31" s="639" t="str">
        <f>Maj!DN37</f>
        <v/>
      </c>
      <c r="T31" s="635" t="str">
        <f>Maj!D37</f>
        <v/>
      </c>
      <c r="U31" s="634">
        <f>Aar!AO31</f>
        <v>29</v>
      </c>
      <c r="V31" s="132" t="str">
        <f>Aar!AP31</f>
        <v>lø</v>
      </c>
      <c r="W31" s="132" t="str">
        <f>Aar!AQ31</f>
        <v>Weekend</v>
      </c>
      <c r="X31" s="639" t="str">
        <f>Juni!DN37</f>
        <v/>
      </c>
      <c r="Y31" s="633" t="str">
        <f>Juni!D37</f>
        <v/>
      </c>
      <c r="Z31" s="634">
        <f>Aar!AS31</f>
        <v>29</v>
      </c>
      <c r="AA31" s="132" t="str">
        <f>Aar!AT31</f>
        <v>ma</v>
      </c>
      <c r="AB31" s="132" t="str">
        <f>Aar!AU31</f>
        <v>Feriedag</v>
      </c>
      <c r="AC31" s="639" t="str">
        <f>Juli!DN37</f>
        <v>Sommerferie</v>
      </c>
      <c r="AD31" s="635">
        <f>Juli!D37</f>
        <v>31</v>
      </c>
    </row>
    <row r="32" spans="1:30" ht="23" customHeight="1">
      <c r="A32" s="82"/>
      <c r="B32" s="82"/>
      <c r="C32" s="83"/>
      <c r="D32" s="83"/>
      <c r="E32" s="492"/>
      <c r="F32" s="634">
        <f>Aar!AC32</f>
        <v>30</v>
      </c>
      <c r="G32" s="132" t="str">
        <f>Aar!AD32</f>
        <v>lø</v>
      </c>
      <c r="H32" s="132" t="str">
        <f>Aar!AE32</f>
        <v>Weekend</v>
      </c>
      <c r="I32" s="613" t="str">
        <f>Marts!DN38</f>
        <v/>
      </c>
      <c r="J32" s="635" t="str">
        <f>Marts!D38</f>
        <v/>
      </c>
      <c r="K32" s="132">
        <f>Aar!AG32</f>
        <v>30</v>
      </c>
      <c r="L32" s="132" t="str">
        <f>Aar!AH32</f>
        <v>ti</v>
      </c>
      <c r="M32" s="132" t="str">
        <f>Aar!AI32</f>
        <v>Skema 1</v>
      </c>
      <c r="N32" s="639" t="str">
        <f>April!DN38</f>
        <v/>
      </c>
      <c r="O32" s="633" t="str">
        <f>April!D38</f>
        <v/>
      </c>
      <c r="P32" s="634">
        <f>Aar!AK32</f>
        <v>30</v>
      </c>
      <c r="Q32" s="132" t="str">
        <f>Aar!AL32</f>
        <v>to</v>
      </c>
      <c r="R32" s="132" t="str">
        <f>Aar!AM32</f>
        <v>Skema 1</v>
      </c>
      <c r="S32" s="639" t="str">
        <f>Maj!DN38</f>
        <v/>
      </c>
      <c r="T32" s="635" t="str">
        <f>Maj!D38</f>
        <v/>
      </c>
      <c r="U32" s="634">
        <f>Aar!AO32</f>
        <v>30</v>
      </c>
      <c r="V32" s="132" t="str">
        <f>Aar!AP32</f>
        <v>sø</v>
      </c>
      <c r="W32" s="132" t="str">
        <f>Aar!AQ32</f>
        <v>Weekend</v>
      </c>
      <c r="X32" s="639" t="str">
        <f>Juni!DN38</f>
        <v/>
      </c>
      <c r="Y32" s="633" t="str">
        <f>Juni!D38</f>
        <v/>
      </c>
      <c r="Z32" s="634">
        <f>Aar!AS32</f>
        <v>30</v>
      </c>
      <c r="AA32" s="132" t="str">
        <f>Aar!AT32</f>
        <v>ti</v>
      </c>
      <c r="AB32" s="132" t="str">
        <f>Aar!AU32</f>
        <v>Feriedag</v>
      </c>
      <c r="AC32" s="639" t="str">
        <f>Juli!DN38</f>
        <v>Sommerferie</v>
      </c>
      <c r="AD32" s="635" t="str">
        <f>Juli!D38</f>
        <v/>
      </c>
    </row>
    <row r="33" spans="1:30" ht="23" customHeight="1">
      <c r="A33" s="82"/>
      <c r="B33" s="82"/>
      <c r="C33" s="83"/>
      <c r="D33" s="83"/>
      <c r="E33" s="492"/>
      <c r="F33" s="634">
        <f>Aar!AC33</f>
        <v>31</v>
      </c>
      <c r="G33" s="132" t="str">
        <f>Aar!AD33</f>
        <v>sø</v>
      </c>
      <c r="H33" s="132" t="str">
        <f>Aar!AE33</f>
        <v>Weekend</v>
      </c>
      <c r="I33" s="639" t="str">
        <f>Marts!DN39</f>
        <v>Påskedag</v>
      </c>
      <c r="J33" s="635" t="str">
        <f>Marts!D39</f>
        <v/>
      </c>
      <c r="K33" s="82"/>
      <c r="L33" s="82"/>
      <c r="M33" s="83"/>
      <c r="N33" s="640"/>
      <c r="O33" s="492"/>
      <c r="P33" s="634">
        <f>Aar!AK33</f>
        <v>31</v>
      </c>
      <c r="Q33" s="132" t="str">
        <f>Aar!AL33</f>
        <v>fr</v>
      </c>
      <c r="R33" s="132" t="str">
        <f>Aar!AM33</f>
        <v>Skema 1</v>
      </c>
      <c r="S33" s="639" t="str">
        <f>Maj!DN39</f>
        <v/>
      </c>
      <c r="T33" s="635" t="str">
        <f>Maj!D39</f>
        <v/>
      </c>
      <c r="U33" s="82"/>
      <c r="V33" s="82"/>
      <c r="W33" s="83"/>
      <c r="X33" s="83"/>
      <c r="Y33" s="492"/>
      <c r="Z33" s="634">
        <f>Aar!AS33</f>
        <v>31</v>
      </c>
      <c r="AA33" s="132" t="str">
        <f>Aar!AT33</f>
        <v>on</v>
      </c>
      <c r="AB33" s="132" t="str">
        <f>Aar!AU33</f>
        <v>Feriedag</v>
      </c>
      <c r="AC33" s="639" t="str">
        <f>Juli!DN39</f>
        <v>Sommerferie</v>
      </c>
      <c r="AD33" s="635" t="str">
        <f>Juli!D39</f>
        <v/>
      </c>
    </row>
    <row r="34" spans="1:30" ht="23" customHeight="1">
      <c r="A34" s="74"/>
      <c r="B34" s="74"/>
      <c r="C34" s="74">
        <f>Aar!Z34</f>
        <v>21</v>
      </c>
      <c r="D34" s="74" t="str">
        <f>Aar!AA34</f>
        <v xml:space="preserve"> arbejdsdage</v>
      </c>
      <c r="E34" s="74"/>
      <c r="F34" s="74"/>
      <c r="G34" s="74"/>
      <c r="H34" s="74">
        <f>Aar!AD34</f>
        <v>19</v>
      </c>
      <c r="I34" s="74" t="str">
        <f>Aar!AE34</f>
        <v xml:space="preserve"> arbejdsdage</v>
      </c>
      <c r="J34" s="74"/>
      <c r="K34" s="74"/>
      <c r="L34" s="74"/>
      <c r="M34" s="74">
        <f>Aar!AH34</f>
        <v>21</v>
      </c>
      <c r="N34" s="74" t="str">
        <f>Aar!AI34</f>
        <v xml:space="preserve"> arbejdsdage</v>
      </c>
      <c r="O34" s="74"/>
      <c r="P34" s="74"/>
      <c r="Q34" s="74"/>
      <c r="R34" s="74">
        <f>Aar!AL34</f>
        <v>21</v>
      </c>
      <c r="S34" s="74" t="str">
        <f>Aar!AM34</f>
        <v xml:space="preserve"> arbejdsdage</v>
      </c>
      <c r="T34" s="74"/>
      <c r="U34" s="74"/>
      <c r="V34" s="74"/>
      <c r="W34" s="74">
        <f>Aar!AP34</f>
        <v>20</v>
      </c>
      <c r="X34" s="74" t="str">
        <f>Aar!AQ34</f>
        <v xml:space="preserve"> arbejdsdage</v>
      </c>
      <c r="Y34" s="74"/>
      <c r="Z34" s="74"/>
      <c r="AA34" s="74"/>
      <c r="AB34" s="584">
        <f>Aar!AT34</f>
        <v>23</v>
      </c>
      <c r="AC34" s="584" t="str">
        <f>Aar!AU34</f>
        <v xml:space="preserve"> arbejdsdage</v>
      </c>
      <c r="AD34" s="74"/>
    </row>
    <row r="35" spans="1:30" ht="23" customHeight="1" thickBo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row>
    <row r="36" spans="1:30" ht="29" customHeight="1" thickBot="1">
      <c r="A36" s="1305" t="str">
        <f>"I alt for hele skoleåret "&amp;Vejledning!B3&amp;""</f>
        <v>I alt for hele skoleåret Vejledning til planlægningsværtøj vedr.</v>
      </c>
      <c r="B36" s="1306"/>
      <c r="C36" s="1306"/>
      <c r="D36" s="1306"/>
      <c r="E36" s="1306"/>
      <c r="F36" s="1306"/>
      <c r="G36" s="1306"/>
      <c r="H36" s="1306"/>
      <c r="I36" s="1306"/>
      <c r="J36" s="1306"/>
      <c r="K36" s="1306"/>
      <c r="L36" s="1306"/>
      <c r="M36" s="1306"/>
      <c r="N36" s="1306"/>
      <c r="O36" s="1306"/>
      <c r="P36" s="1306"/>
      <c r="Q36" s="1306"/>
      <c r="R36" s="1306"/>
      <c r="S36" s="1306"/>
      <c r="T36" s="1306"/>
      <c r="U36" s="1307"/>
      <c r="V36" s="120"/>
      <c r="W36" s="121"/>
      <c r="X36" s="117"/>
      <c r="Y36" s="74"/>
      <c r="Z36" s="74"/>
      <c r="AA36" s="74"/>
      <c r="AB36" s="74"/>
      <c r="AC36" s="74"/>
      <c r="AD36" s="74"/>
    </row>
    <row r="37" spans="1:30" ht="23" customHeight="1">
      <c r="A37" s="1308" t="s">
        <v>119</v>
      </c>
      <c r="B37" s="1309"/>
      <c r="C37" s="1309"/>
      <c r="D37" s="1309"/>
      <c r="E37" s="1309"/>
      <c r="F37" s="1309"/>
      <c r="G37" s="1309"/>
      <c r="H37" s="135">
        <f>Aar!G37</f>
        <v>200</v>
      </c>
      <c r="I37" s="176"/>
      <c r="J37" s="176"/>
      <c r="K37" s="176"/>
      <c r="L37" s="176"/>
      <c r="M37" s="176"/>
      <c r="N37" s="1310" t="s">
        <v>118</v>
      </c>
      <c r="O37" s="1311"/>
      <c r="P37" s="1311"/>
      <c r="Q37" s="1311"/>
      <c r="R37" s="1311"/>
      <c r="S37" s="1311"/>
      <c r="T37" s="1311"/>
      <c r="U37" s="175">
        <f>Aar!AE37</f>
        <v>0</v>
      </c>
      <c r="V37" s="118"/>
      <c r="W37" s="74"/>
      <c r="X37" s="114"/>
      <c r="Y37" s="114"/>
      <c r="Z37" s="74"/>
      <c r="AA37" s="74"/>
      <c r="AB37" s="113"/>
      <c r="AC37" s="66"/>
      <c r="AD37" s="66"/>
    </row>
    <row r="38" spans="1:30" ht="23" customHeight="1">
      <c r="A38" s="1312" t="s">
        <v>117</v>
      </c>
      <c r="B38" s="1313"/>
      <c r="C38" s="1313"/>
      <c r="D38" s="1313"/>
      <c r="E38" s="1313"/>
      <c r="F38" s="1313"/>
      <c r="G38" s="1313"/>
      <c r="H38" s="172">
        <f>Aar!O37</f>
        <v>0</v>
      </c>
      <c r="I38" s="177"/>
      <c r="J38" s="177"/>
      <c r="K38" s="177"/>
      <c r="L38" s="177"/>
      <c r="M38" s="177"/>
      <c r="N38" s="179" t="s">
        <v>144</v>
      </c>
      <c r="O38" s="1320">
        <f>Aar!O35</f>
        <v>104</v>
      </c>
      <c r="P38" s="1320"/>
      <c r="Q38" s="1320"/>
      <c r="R38" s="171" t="s">
        <v>145</v>
      </c>
      <c r="S38" s="171"/>
      <c r="T38" s="1316">
        <f>Aar!W35</f>
        <v>8</v>
      </c>
      <c r="U38" s="1317"/>
      <c r="V38" s="118"/>
      <c r="W38" s="74"/>
      <c r="X38" s="114"/>
      <c r="Y38" s="114"/>
      <c r="Z38" s="74"/>
      <c r="AA38" s="74"/>
      <c r="AB38" s="113"/>
      <c r="AC38" s="66"/>
      <c r="AD38" s="66"/>
    </row>
    <row r="39" spans="1:30" ht="23" customHeight="1">
      <c r="A39" s="1314" t="s">
        <v>122</v>
      </c>
      <c r="B39" s="1315"/>
      <c r="C39" s="1315"/>
      <c r="D39" s="1315"/>
      <c r="E39" s="1315"/>
      <c r="F39" s="1315"/>
      <c r="G39" s="1315"/>
      <c r="H39" s="173">
        <f>Aar!W37</f>
        <v>0</v>
      </c>
      <c r="I39" s="177"/>
      <c r="J39" s="177"/>
      <c r="K39" s="177"/>
      <c r="L39" s="177"/>
      <c r="M39" s="177"/>
      <c r="N39" s="187" t="s">
        <v>164</v>
      </c>
      <c r="O39" s="1318">
        <f>Aar!AE35</f>
        <v>25</v>
      </c>
      <c r="P39" s="1318"/>
      <c r="Q39" s="1319"/>
      <c r="R39" s="185" t="s">
        <v>165</v>
      </c>
      <c r="S39" s="185"/>
      <c r="T39" s="185"/>
      <c r="U39" s="493">
        <f>Aar!AV35</f>
        <v>0</v>
      </c>
      <c r="V39" s="119"/>
      <c r="W39" s="74"/>
      <c r="X39" s="114"/>
      <c r="Y39" s="114"/>
      <c r="Z39" s="74"/>
      <c r="AA39" s="74"/>
      <c r="AB39" s="113"/>
      <c r="AC39" s="66"/>
      <c r="AD39" s="66"/>
    </row>
    <row r="40" spans="1:30" ht="23" customHeight="1" thickBot="1">
      <c r="A40" s="169" t="s">
        <v>152</v>
      </c>
      <c r="B40" s="170"/>
      <c r="C40" s="170"/>
      <c r="D40" s="170"/>
      <c r="E40" s="170"/>
      <c r="F40" s="170"/>
      <c r="G40" s="170"/>
      <c r="H40" s="174">
        <f>SUM(H37:H39)</f>
        <v>200</v>
      </c>
      <c r="I40" s="178"/>
      <c r="J40" s="178"/>
      <c r="K40" s="178"/>
      <c r="L40" s="178"/>
      <c r="M40" s="178"/>
      <c r="N40" s="497" t="s">
        <v>169</v>
      </c>
      <c r="O40" s="498"/>
      <c r="P40" s="498"/>
      <c r="Q40" s="498">
        <f>Aar!AM35</f>
        <v>29</v>
      </c>
      <c r="R40" s="495" t="s">
        <v>448</v>
      </c>
      <c r="S40" s="495"/>
      <c r="T40" s="495"/>
      <c r="U40" s="496">
        <f>Aar!AV37</f>
        <v>0</v>
      </c>
      <c r="V40" s="118"/>
      <c r="W40" s="74"/>
      <c r="X40" s="114"/>
      <c r="Y40" s="114"/>
      <c r="Z40" s="74"/>
      <c r="AA40" s="74"/>
      <c r="AB40" s="113"/>
      <c r="AC40" s="66"/>
      <c r="AD40" s="66"/>
    </row>
  </sheetData>
  <sheetProtection sheet="1" formatCells="0" formatColumns="0" formatRows="0" insertColumns="0"/>
  <mergeCells count="8">
    <mergeCell ref="A36:U36"/>
    <mergeCell ref="A37:G37"/>
    <mergeCell ref="N37:T37"/>
    <mergeCell ref="A38:G38"/>
    <mergeCell ref="A39:G39"/>
    <mergeCell ref="T38:U38"/>
    <mergeCell ref="O38:Q38"/>
    <mergeCell ref="O39:Q39"/>
  </mergeCells>
  <phoneticPr fontId="5" type="noConversion"/>
  <printOptions horizontalCentered="1" verticalCentered="1"/>
  <pageMargins left="0.35433070866141736" right="0.35433070866141736" top="0.39370078740157483" bottom="0.39370078740157483" header="0.19685039370078741" footer="0.11811023622047245"/>
  <pageSetup paperSize="9" scale="53" orientation="landscape" horizontalDpi="4294967292" verticalDpi="4294967292"/>
  <ignoredErrors>
    <ignoredError sqref="C33:E33 K33:O33 C32:E32 U33:Y33"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92" stopIfTrue="1" id="{97279CEF-ECAE-2646-970C-2A7450844C7C}">
            <xm:f>OR(Februar!$C9="Orlov")</xm:f>
            <x14:dxf>
              <font>
                <color theme="0"/>
              </font>
              <fill>
                <patternFill patternType="solid">
                  <bgColor theme="6" tint="-0.24994659260841701"/>
                </patternFill>
              </fill>
            </x14:dxf>
          </x14:cfRule>
          <x14:cfRule type="expression" priority="91" id="{10B48BC6-8EAF-2942-BB6D-13EE2B42F7DD}">
            <xm:f>OR(Februar!$C9="weekend")</xm:f>
            <x14:dxf>
              <font>
                <color theme="1"/>
              </font>
              <fill>
                <patternFill>
                  <bgColor theme="0" tint="-0.14996795556505021"/>
                </patternFill>
              </fill>
            </x14:dxf>
          </x14:cfRule>
          <x14:cfRule type="expression" priority="90" id="{F6CC4708-7E92-A745-9939-7594EE6EADA0}">
            <xm:f>OR(Februar!$C9="feriedag")</xm:f>
            <x14:dxf>
              <font>
                <color theme="1"/>
              </font>
              <fill>
                <patternFill>
                  <bgColor theme="6" tint="0.39994506668294322"/>
                </patternFill>
              </fill>
            </x14:dxf>
          </x14:cfRule>
          <x14:cfRule type="expression" priority="89" id="{57E068A6-D249-1E4A-84B8-176519CE97D6}">
            <xm:f>OR(Februar!$C9="fagdag")</xm:f>
            <x14:dxf>
              <font>
                <color theme="1"/>
              </font>
              <fill>
                <patternFill>
                  <bgColor theme="9" tint="0.59996337778862885"/>
                </patternFill>
              </fill>
            </x14:dxf>
          </x14:cfRule>
          <x14:cfRule type="expression" priority="88" id="{D5F29B49-D605-7245-83DF-DFB7B5E07041}">
            <xm:f>OR(Februar!$C9="emnedag")</xm:f>
            <x14:dxf>
              <font>
                <color theme="1"/>
              </font>
              <fill>
                <patternFill>
                  <bgColor theme="5" tint="0.59996337778862885"/>
                </patternFill>
              </fill>
            </x14:dxf>
          </x14:cfRule>
          <x14:cfRule type="expression" priority="87" id="{16BF4041-5844-EF42-A47B-6A70837B4FEC}">
            <xm:f>OR(Februar!$C9="lejrskole")</xm:f>
            <x14:dxf>
              <font>
                <color theme="1"/>
              </font>
              <fill>
                <patternFill>
                  <bgColor theme="8" tint="0.59996337778862885"/>
                </patternFill>
              </fill>
            </x14:dxf>
          </x14:cfRule>
          <x14:cfRule type="expression" priority="86" id="{0CC0AE7B-459A-DE49-8983-75A273A5D06F}">
            <xm:f>OR(Februar!$C9="ekskursion")</xm:f>
            <x14:dxf>
              <font>
                <color theme="1"/>
              </font>
              <fill>
                <patternFill>
                  <bgColor rgb="FFFFFF00"/>
                </patternFill>
              </fill>
            </x14:dxf>
          </x14:cfRule>
          <x14:cfRule type="expression" priority="85" id="{06C03DDE-3533-E649-9DE8-8AD68AEE153F}">
            <xm:f>OR(Februar!$C9="SH-dag")</xm:f>
            <x14:dxf>
              <font>
                <color theme="1"/>
              </font>
              <fill>
                <patternFill>
                  <bgColor rgb="FFFF2F82"/>
                </patternFill>
              </fill>
            </x14:dxf>
          </x14:cfRule>
          <x14:cfRule type="expression" priority="32" id="{AA8D41F6-A3CD-5249-A8C0-AF6CB62E51FE}">
            <xm:f>OR(Februar!$C9="Ikke relevant")</xm:f>
            <x14:dxf>
              <font>
                <color theme="0"/>
              </font>
              <fill>
                <patternFill>
                  <bgColor theme="1"/>
                </patternFill>
              </fill>
            </x14:dxf>
          </x14:cfRule>
          <x14:cfRule type="expression" priority="83" id="{4869A631-E5B2-AC4A-9F64-07F866BAB5B5}">
            <xm:f>OR(Februar!$C9="pæd.dag")</xm:f>
            <x14:dxf>
              <font>
                <color theme="1"/>
              </font>
              <fill>
                <patternFill>
                  <bgColor theme="7" tint="0.39994506668294322"/>
                </patternFill>
              </fill>
            </x14:dxf>
          </x14:cfRule>
          <x14:cfRule type="expression" priority="84" id="{39C4D426-F21A-FE41-AD48-523EDD85B599}">
            <xm:f>OR(Februar!$C9="nul-dag")</xm:f>
            <x14:dxf>
              <font>
                <color theme="1"/>
              </font>
              <fill>
                <patternFill>
                  <bgColor theme="5" tint="0.79998168889431442"/>
                </patternFill>
              </fill>
            </x14:dxf>
          </x14:cfRule>
          <x14:cfRule type="expression" priority="24" id="{E96A00CC-49F7-8B42-B1D7-8CF5307B2C13}">
            <xm:f>OR(Februar!$C9="Skema 4")</xm:f>
            <x14:dxf>
              <font>
                <color theme="0"/>
              </font>
              <fill>
                <patternFill>
                  <bgColor theme="4" tint="-0.24994659260841701"/>
                </patternFill>
              </fill>
            </x14:dxf>
          </x14:cfRule>
          <x14:cfRule type="expression" priority="23" id="{F7929E43-28A2-6B4D-8A95-49373E998490}">
            <xm:f>OR(Februar!$C9="Skema 3")</xm:f>
            <x14:dxf>
              <font>
                <color theme="0"/>
              </font>
              <fill>
                <patternFill>
                  <bgColor theme="4" tint="0.39994506668294322"/>
                </patternFill>
              </fill>
            </x14:dxf>
          </x14:cfRule>
          <x14:cfRule type="expression" priority="22" id="{E6DCFBEB-E6D1-244B-BC94-3093EE48BAFD}">
            <xm:f>OR(Februar!$C9="Skema 2")</xm:f>
            <x14:dxf>
              <font>
                <color theme="1"/>
              </font>
              <fill>
                <patternFill>
                  <bgColor theme="4" tint="0.59996337778862885"/>
                </patternFill>
              </fill>
            </x14:dxf>
          </x14:cfRule>
          <x14:cfRule type="expression" priority="21" id="{0AB281AD-E70D-B542-939D-EF5BD8824FD8}">
            <xm:f>OR(Februar!$C9="Skema 1")</xm:f>
            <x14:dxf>
              <font>
                <color theme="1"/>
              </font>
              <fill>
                <patternFill>
                  <bgColor theme="4" tint="0.79998168889431442"/>
                </patternFill>
              </fill>
            </x14:dxf>
          </x14:cfRule>
          <xm:sqref>A3:E31</xm:sqref>
        </x14:conditionalFormatting>
        <x14:conditionalFormatting xmlns:xm="http://schemas.microsoft.com/office/excel/2006/main">
          <x14:cfRule type="expression" priority="82" stopIfTrue="1" id="{A19BC286-75C7-384E-9180-53B85FFC3066}">
            <xm:f>OR(Marts!$C9="Orlov")</xm:f>
            <x14:dxf>
              <font>
                <color theme="0"/>
              </font>
              <fill>
                <patternFill patternType="solid">
                  <bgColor theme="6" tint="-0.24994659260841701"/>
                </patternFill>
              </fill>
            </x14:dxf>
          </x14:cfRule>
          <x14:cfRule type="expression" priority="17" id="{D2EC0C15-42B0-6D4C-A256-9BBBA2237861}">
            <xm:f>OR(Marts!$C9="Skema 1")</xm:f>
            <x14:dxf>
              <font>
                <color theme="1"/>
              </font>
              <fill>
                <patternFill>
                  <bgColor theme="4" tint="0.79998168889431442"/>
                </patternFill>
              </fill>
            </x14:dxf>
          </x14:cfRule>
          <x14:cfRule type="expression" priority="18" id="{2668D4B4-6813-6441-B780-22F04DA03A65}">
            <xm:f>OR(Marts!$C9="Skema 2")</xm:f>
            <x14:dxf>
              <font>
                <color theme="1"/>
              </font>
              <fill>
                <patternFill>
                  <bgColor theme="4" tint="0.59996337778862885"/>
                </patternFill>
              </fill>
            </x14:dxf>
          </x14:cfRule>
          <x14:cfRule type="expression" priority="19" id="{183EF8EE-7380-EA42-A43E-539681C98578}">
            <xm:f>OR(Marts!$C9="Skema 3")</xm:f>
            <x14:dxf>
              <font>
                <color theme="0"/>
              </font>
              <fill>
                <patternFill>
                  <bgColor theme="4" tint="0.39994506668294322"/>
                </patternFill>
              </fill>
            </x14:dxf>
          </x14:cfRule>
          <x14:cfRule type="expression" priority="20" id="{45049CC7-BA0C-4E4F-8BA7-F857EC8F7012}">
            <xm:f>OR(Marts!$C9="Skema 4")</xm:f>
            <x14:dxf>
              <font>
                <color theme="0"/>
              </font>
              <fill>
                <patternFill>
                  <bgColor theme="4" tint="-0.24994659260841701"/>
                </patternFill>
              </fill>
            </x14:dxf>
          </x14:cfRule>
          <x14:cfRule type="expression" priority="73" id="{6D6BFA12-E389-EF41-92A5-388BBB962CF0}">
            <xm:f>OR(Marts!$C9="pæd.dag")</xm:f>
            <x14:dxf>
              <font>
                <color theme="1"/>
              </font>
              <fill>
                <patternFill>
                  <bgColor theme="7" tint="0.39994506668294322"/>
                </patternFill>
              </fill>
            </x14:dxf>
          </x14:cfRule>
          <x14:cfRule type="expression" priority="74" id="{537C09DA-DA59-4148-AEB0-9861A919B227}">
            <xm:f>OR(Marts!$C9="nul-dag")</xm:f>
            <x14:dxf>
              <font>
                <color theme="1"/>
              </font>
              <fill>
                <patternFill>
                  <bgColor theme="5" tint="0.79998168889431442"/>
                </patternFill>
              </fill>
            </x14:dxf>
          </x14:cfRule>
          <x14:cfRule type="expression" priority="75" id="{58971DDF-F166-E042-B167-6C2F1BBE6AD0}">
            <xm:f>OR(Marts!$C9="SH-dag")</xm:f>
            <x14:dxf>
              <font>
                <color theme="1"/>
              </font>
              <fill>
                <patternFill>
                  <bgColor rgb="FFFF2F82"/>
                </patternFill>
              </fill>
            </x14:dxf>
          </x14:cfRule>
          <x14:cfRule type="expression" priority="76" id="{0F5CAAAC-B94A-0946-BE6A-D17B3DED7811}">
            <xm:f>OR(Marts!$C9="ekskursion")</xm:f>
            <x14:dxf>
              <font>
                <color theme="1"/>
              </font>
              <fill>
                <patternFill>
                  <bgColor rgb="FFFFFF00"/>
                </patternFill>
              </fill>
            </x14:dxf>
          </x14:cfRule>
          <x14:cfRule type="expression" priority="77" id="{2B18A6A9-445C-114D-B7BF-725EB47AD762}">
            <xm:f>OR(Marts!$C9="lejrskole")</xm:f>
            <x14:dxf>
              <font>
                <color theme="1"/>
              </font>
              <fill>
                <patternFill>
                  <bgColor theme="8" tint="0.59996337778862885"/>
                </patternFill>
              </fill>
            </x14:dxf>
          </x14:cfRule>
          <x14:cfRule type="expression" priority="78" id="{8E5C35AA-8A39-4A4A-9284-8B2E3E35C756}">
            <xm:f>OR(Marts!$C9="emnedag")</xm:f>
            <x14:dxf>
              <font>
                <color theme="1"/>
              </font>
              <fill>
                <patternFill>
                  <bgColor theme="5" tint="0.59996337778862885"/>
                </patternFill>
              </fill>
            </x14:dxf>
          </x14:cfRule>
          <x14:cfRule type="expression" priority="79" id="{373C7241-B62D-9B49-AF38-D031587F45C8}">
            <xm:f>OR(Marts!$C9="fagdag")</xm:f>
            <x14:dxf>
              <font>
                <color theme="1"/>
              </font>
              <fill>
                <patternFill>
                  <bgColor theme="9" tint="0.59996337778862885"/>
                </patternFill>
              </fill>
            </x14:dxf>
          </x14:cfRule>
          <x14:cfRule type="expression" priority="80" id="{0D652B04-5C4F-1145-9D7E-C15326BC13C5}">
            <xm:f>OR(Marts!$C9="feriedag")</xm:f>
            <x14:dxf>
              <font>
                <color theme="1"/>
              </font>
              <fill>
                <patternFill>
                  <bgColor theme="6" tint="0.39994506668294322"/>
                </patternFill>
              </fill>
            </x14:dxf>
          </x14:cfRule>
          <x14:cfRule type="expression" priority="31" id="{3AB6D212-85A0-F04D-920B-A92267DB488B}">
            <xm:f>OR(Marts!$C9="Ikke relevant")</xm:f>
            <x14:dxf>
              <font>
                <color theme="0"/>
              </font>
              <fill>
                <patternFill>
                  <bgColor theme="1"/>
                </patternFill>
              </fill>
            </x14:dxf>
          </x14:cfRule>
          <x14:cfRule type="expression" priority="81" id="{2F51A462-F28C-7B4A-8F6B-B8F18F2E47B6}">
            <xm:f>OR(Marts!$C9="weekend")</xm:f>
            <x14:dxf>
              <font>
                <color theme="1"/>
              </font>
              <fill>
                <patternFill>
                  <bgColor theme="0" tint="-0.14996795556505021"/>
                </patternFill>
              </fill>
            </x14:dxf>
          </x14:cfRule>
          <xm:sqref>F3:J33</xm:sqref>
        </x14:conditionalFormatting>
        <x14:conditionalFormatting xmlns:xm="http://schemas.microsoft.com/office/excel/2006/main">
          <x14:cfRule type="expression" priority="16" id="{B911483F-34B1-0841-AE6D-1366C2EBA141}">
            <xm:f>OR(April!$C9="Skema 4")</xm:f>
            <x14:dxf>
              <font>
                <color theme="0"/>
              </font>
              <fill>
                <patternFill>
                  <bgColor theme="4" tint="-0.24994659260841701"/>
                </patternFill>
              </fill>
            </x14:dxf>
          </x14:cfRule>
          <x14:cfRule type="expression" priority="63" id="{DC92B041-9CB0-7C47-B533-E9085F59E8A9}">
            <xm:f>OR(April!$C9="pæd.dag")</xm:f>
            <x14:dxf>
              <font>
                <color theme="1"/>
              </font>
              <fill>
                <patternFill>
                  <bgColor theme="7" tint="0.39994506668294322"/>
                </patternFill>
              </fill>
            </x14:dxf>
          </x14:cfRule>
          <x14:cfRule type="expression" priority="30" id="{6306EA6E-7EFD-BB4E-8E6A-C4B3394E39EE}">
            <xm:f>OR(April!$C9="ikke relevant")</xm:f>
            <x14:dxf>
              <font>
                <color theme="0"/>
              </font>
              <fill>
                <patternFill>
                  <bgColor theme="1"/>
                </patternFill>
              </fill>
            </x14:dxf>
          </x14:cfRule>
          <x14:cfRule type="expression" priority="64" id="{7CE152F0-A425-1248-8322-25979A2FFD16}">
            <xm:f>OR(April!$C9="nul-dag")</xm:f>
            <x14:dxf>
              <font>
                <color theme="1"/>
              </font>
              <fill>
                <patternFill>
                  <bgColor theme="5" tint="0.79998168889431442"/>
                </patternFill>
              </fill>
            </x14:dxf>
          </x14:cfRule>
          <x14:cfRule type="expression" priority="65" id="{D075334A-CE3A-494E-9982-667528C25034}">
            <xm:f>OR(April!$C9="SH-dag")</xm:f>
            <x14:dxf>
              <font>
                <color theme="1"/>
              </font>
              <fill>
                <patternFill>
                  <bgColor rgb="FFFF2F82"/>
                </patternFill>
              </fill>
            </x14:dxf>
          </x14:cfRule>
          <x14:cfRule type="expression" priority="66" id="{86C9FF40-FEB8-0C4D-973A-8E7738579157}">
            <xm:f>OR(April!$C9="ekskursion")</xm:f>
            <x14:dxf>
              <font>
                <color theme="1"/>
              </font>
              <fill>
                <patternFill>
                  <bgColor rgb="FFFFFF00"/>
                </patternFill>
              </fill>
            </x14:dxf>
          </x14:cfRule>
          <x14:cfRule type="expression" priority="67" id="{AEDC18A4-7A62-8344-BB27-BC03F4283E41}">
            <xm:f>OR(April!$C9="lejrskole")</xm:f>
            <x14:dxf>
              <font>
                <color theme="1"/>
              </font>
              <fill>
                <patternFill>
                  <bgColor theme="8" tint="0.59996337778862885"/>
                </patternFill>
              </fill>
            </x14:dxf>
          </x14:cfRule>
          <x14:cfRule type="expression" priority="13" id="{7477664D-0AAF-0243-81B7-83C3931736AA}">
            <xm:f>OR(April!$C9="Skema 1")</xm:f>
            <x14:dxf>
              <font>
                <color theme="1"/>
              </font>
              <fill>
                <patternFill>
                  <bgColor theme="4" tint="0.79998168889431442"/>
                </patternFill>
              </fill>
            </x14:dxf>
          </x14:cfRule>
          <x14:cfRule type="expression" priority="14" id="{47044C37-6CDB-764B-8156-51B877293132}">
            <xm:f>OR(April!$C9="Skema 2")</xm:f>
            <x14:dxf>
              <font>
                <color theme="1"/>
              </font>
              <fill>
                <patternFill>
                  <bgColor theme="4" tint="0.59996337778862885"/>
                </patternFill>
              </fill>
            </x14:dxf>
          </x14:cfRule>
          <x14:cfRule type="expression" priority="15" id="{9F6CA0E6-3F7E-A742-8DFE-4D197D13EA50}">
            <xm:f>OR(April!$C9="Skema 3")</xm:f>
            <x14:dxf>
              <font>
                <color theme="0"/>
              </font>
              <fill>
                <patternFill>
                  <bgColor theme="4" tint="0.39994506668294322"/>
                </patternFill>
              </fill>
            </x14:dxf>
          </x14:cfRule>
          <x14:cfRule type="expression" priority="72" stopIfTrue="1" id="{75133B94-247C-034A-8A6D-3FA79206DDF4}">
            <xm:f>OR(April!$C9="Orlov")</xm:f>
            <x14:dxf>
              <font>
                <color theme="0"/>
              </font>
              <fill>
                <patternFill patternType="solid">
                  <bgColor theme="6" tint="-0.24994659260841701"/>
                </patternFill>
              </fill>
            </x14:dxf>
          </x14:cfRule>
          <x14:cfRule type="expression" priority="71" id="{A75B3236-996A-9B43-B894-25887F31CA82}">
            <xm:f>OR(April!$C9="weekend")</xm:f>
            <x14:dxf>
              <font>
                <color theme="1"/>
              </font>
              <fill>
                <patternFill>
                  <bgColor theme="0" tint="-0.14996795556505021"/>
                </patternFill>
              </fill>
            </x14:dxf>
          </x14:cfRule>
          <x14:cfRule type="expression" priority="70" id="{65DBF272-472D-7A49-B91E-CDD7C79D2FE8}">
            <xm:f>OR(April!$C9="feriedag")</xm:f>
            <x14:dxf>
              <font>
                <color theme="1"/>
              </font>
              <fill>
                <patternFill>
                  <bgColor theme="6" tint="0.39994506668294322"/>
                </patternFill>
              </fill>
            </x14:dxf>
          </x14:cfRule>
          <x14:cfRule type="expression" priority="69" id="{D6B95BC6-48E7-BE4E-953A-B0B01E962921}">
            <xm:f>OR(April!$C9="fagdag")</xm:f>
            <x14:dxf>
              <font>
                <color theme="1"/>
              </font>
              <fill>
                <patternFill>
                  <bgColor theme="9" tint="0.59996337778862885"/>
                </patternFill>
              </fill>
            </x14:dxf>
          </x14:cfRule>
          <x14:cfRule type="expression" priority="68" id="{8D108F10-178F-994B-B53E-B126B41262A3}">
            <xm:f>OR(April!$C9="emnedag")</xm:f>
            <x14:dxf>
              <font>
                <color theme="1"/>
              </font>
              <fill>
                <patternFill>
                  <bgColor theme="5" tint="0.59996337778862885"/>
                </patternFill>
              </fill>
            </x14:dxf>
          </x14:cfRule>
          <xm:sqref>K3:O32</xm:sqref>
        </x14:conditionalFormatting>
        <x14:conditionalFormatting xmlns:xm="http://schemas.microsoft.com/office/excel/2006/main">
          <x14:cfRule type="expression" priority="12" id="{EDA7D371-A004-6C45-86BF-4760DC1B3BE6}">
            <xm:f>OR(Maj!$C9="Skema 4")</xm:f>
            <x14:dxf>
              <font>
                <color theme="0"/>
              </font>
              <fill>
                <patternFill>
                  <bgColor theme="4" tint="-0.24994659260841701"/>
                </patternFill>
              </fill>
            </x14:dxf>
          </x14:cfRule>
          <x14:cfRule type="expression" priority="11" id="{1AED923F-68EC-994E-8111-6DE1953F8846}">
            <xm:f>OR(Maj!$C9="Skema 3")</xm:f>
            <x14:dxf>
              <font>
                <color theme="0"/>
              </font>
              <fill>
                <patternFill>
                  <bgColor theme="4" tint="0.39994506668294322"/>
                </patternFill>
              </fill>
            </x14:dxf>
          </x14:cfRule>
          <x14:cfRule type="expression" priority="10" id="{01BF3053-383D-954B-B219-0EC7917AC7FB}">
            <xm:f>OR(Maj!$C9="Skema 2")</xm:f>
            <x14:dxf>
              <font>
                <color theme="1"/>
              </font>
              <fill>
                <patternFill>
                  <bgColor theme="4" tint="0.59996337778862885"/>
                </patternFill>
              </fill>
            </x14:dxf>
          </x14:cfRule>
          <x14:cfRule type="expression" priority="29" id="{8931C539-23F9-3D4C-BF47-13E25A58A4D9}">
            <xm:f>OR(Maj!$C9="Ikke relevant")</xm:f>
            <x14:dxf>
              <font>
                <color theme="0"/>
              </font>
              <fill>
                <patternFill>
                  <bgColor theme="1"/>
                </patternFill>
              </fill>
            </x14:dxf>
          </x14:cfRule>
          <x14:cfRule type="expression" priority="9" id="{03041ED0-70A6-B841-82DD-8E909FE4848C}">
            <xm:f>OR(Maj!$C9="Skema 1")</xm:f>
            <x14:dxf>
              <font>
                <color theme="1"/>
              </font>
              <fill>
                <patternFill>
                  <bgColor theme="4" tint="0.79998168889431442"/>
                </patternFill>
              </fill>
            </x14:dxf>
          </x14:cfRule>
          <x14:cfRule type="expression" priority="53" id="{50CD2F4D-996F-2E48-9022-BAB76BF43BAB}">
            <xm:f>OR(Maj!$C9="pæd.dag")</xm:f>
            <x14:dxf>
              <font>
                <color theme="1"/>
              </font>
              <fill>
                <patternFill>
                  <bgColor theme="7" tint="0.39994506668294322"/>
                </patternFill>
              </fill>
            </x14:dxf>
          </x14:cfRule>
          <x14:cfRule type="expression" priority="54" id="{474248A2-6E04-9542-963A-C43CDF25A209}">
            <xm:f>OR(Maj!$C9="nul-dag")</xm:f>
            <x14:dxf>
              <font>
                <color theme="1"/>
              </font>
              <fill>
                <patternFill>
                  <bgColor theme="5" tint="0.79998168889431442"/>
                </patternFill>
              </fill>
            </x14:dxf>
          </x14:cfRule>
          <x14:cfRule type="expression" priority="55" id="{7AE2C63B-BDB1-684F-958D-34FE6BDDFCE3}">
            <xm:f>OR(Maj!$C9="SH-dag")</xm:f>
            <x14:dxf>
              <font>
                <color theme="1"/>
              </font>
              <fill>
                <patternFill>
                  <bgColor rgb="FFFF2F82"/>
                </patternFill>
              </fill>
            </x14:dxf>
          </x14:cfRule>
          <x14:cfRule type="expression" priority="56" id="{B6E9AB86-49BF-A44A-92F6-92D75FC06D26}">
            <xm:f>OR(Maj!$C9="ekskursion")</xm:f>
            <x14:dxf>
              <font>
                <color theme="1"/>
              </font>
              <fill>
                <patternFill>
                  <bgColor rgb="FFFFFF00"/>
                </patternFill>
              </fill>
            </x14:dxf>
          </x14:cfRule>
          <x14:cfRule type="expression" priority="57" id="{D4188B95-6B50-0B41-B1B1-3525B3093F6D}">
            <xm:f>OR(Maj!$C9="lejrskole")</xm:f>
            <x14:dxf>
              <font>
                <color theme="1"/>
              </font>
              <fill>
                <patternFill>
                  <bgColor theme="8" tint="0.59996337778862885"/>
                </patternFill>
              </fill>
            </x14:dxf>
          </x14:cfRule>
          <x14:cfRule type="expression" priority="58" id="{D07F190B-00C6-BE49-A3BF-2A5442CAF3E6}">
            <xm:f>OR(Maj!$C9="emnedag")</xm:f>
            <x14:dxf>
              <font>
                <color theme="1"/>
              </font>
              <fill>
                <patternFill>
                  <bgColor theme="5" tint="0.59996337778862885"/>
                </patternFill>
              </fill>
            </x14:dxf>
          </x14:cfRule>
          <x14:cfRule type="expression" priority="59" id="{0A28D22A-A4B3-3745-87F1-178CFAAB8A9E}">
            <xm:f>OR(Maj!$C9="fagdag")</xm:f>
            <x14:dxf>
              <font>
                <color theme="1"/>
              </font>
              <fill>
                <patternFill>
                  <bgColor theme="9" tint="0.59996337778862885"/>
                </patternFill>
              </fill>
            </x14:dxf>
          </x14:cfRule>
          <x14:cfRule type="expression" priority="60" id="{51495512-FECE-E14B-B72B-4B8AD254C6F0}">
            <xm:f>OR(Maj!$C9="feriedag")</xm:f>
            <x14:dxf>
              <font>
                <color theme="1"/>
              </font>
              <fill>
                <patternFill>
                  <bgColor theme="6" tint="0.39994506668294322"/>
                </patternFill>
              </fill>
            </x14:dxf>
          </x14:cfRule>
          <x14:cfRule type="expression" priority="61" id="{B2568CEC-E71A-5046-BDBB-3FF7DE9CC555}">
            <xm:f>OR(Maj!$C9="weekend")</xm:f>
            <x14:dxf>
              <font>
                <color theme="1"/>
              </font>
              <fill>
                <patternFill>
                  <bgColor theme="0" tint="-0.14996795556505021"/>
                </patternFill>
              </fill>
            </x14:dxf>
          </x14:cfRule>
          <x14:cfRule type="expression" priority="62" stopIfTrue="1" id="{EC84CFD7-C053-2144-ACE4-DC211962BDBB}">
            <xm:f>OR(Maj!$C9="Orlov")</xm:f>
            <x14:dxf>
              <font>
                <color theme="0"/>
              </font>
              <fill>
                <patternFill patternType="solid">
                  <bgColor theme="6" tint="-0.24994659260841701"/>
                </patternFill>
              </fill>
            </x14:dxf>
          </x14:cfRule>
          <xm:sqref>P3:T33</xm:sqref>
        </x14:conditionalFormatting>
        <x14:conditionalFormatting xmlns:xm="http://schemas.microsoft.com/office/excel/2006/main">
          <x14:cfRule type="expression" priority="52" stopIfTrue="1" id="{A8C3538A-4F35-6C46-8AC0-A42EC24299DE}">
            <xm:f>OR(Juni!$C9="Orlov")</xm:f>
            <x14:dxf>
              <font>
                <color theme="0"/>
              </font>
              <fill>
                <patternFill patternType="solid">
                  <bgColor theme="6" tint="-0.24994659260841701"/>
                </patternFill>
              </fill>
            </x14:dxf>
          </x14:cfRule>
          <x14:cfRule type="expression" priority="51" id="{4C3AAFF6-429E-B148-ABA3-4235BAD6AF07}">
            <xm:f>OR(Juni!$C9="weekend")</xm:f>
            <x14:dxf>
              <font>
                <color theme="1"/>
              </font>
              <fill>
                <patternFill>
                  <bgColor theme="0" tint="-0.14996795556505021"/>
                </patternFill>
              </fill>
            </x14:dxf>
          </x14:cfRule>
          <x14:cfRule type="expression" priority="50" id="{16B5986B-0CB3-EF48-9F62-D21F4540C027}">
            <xm:f>OR(Juni!$C9="feriedag")</xm:f>
            <x14:dxf>
              <font>
                <color theme="1"/>
              </font>
              <fill>
                <patternFill>
                  <bgColor theme="6" tint="0.39994506668294322"/>
                </patternFill>
              </fill>
            </x14:dxf>
          </x14:cfRule>
          <x14:cfRule type="expression" priority="49" id="{C3A6622B-2656-1148-8021-15583886E755}">
            <xm:f>OR(Juni!$C9="fagdag")</xm:f>
            <x14:dxf>
              <font>
                <color theme="1"/>
              </font>
              <fill>
                <patternFill>
                  <bgColor theme="9" tint="0.59996337778862885"/>
                </patternFill>
              </fill>
            </x14:dxf>
          </x14:cfRule>
          <x14:cfRule type="expression" priority="48" id="{9AACDA6B-04BD-9740-94B5-3C14DC59DD13}">
            <xm:f>OR(Juni!$C9="emnedag")</xm:f>
            <x14:dxf>
              <font>
                <color theme="1"/>
              </font>
              <fill>
                <patternFill>
                  <bgColor theme="5" tint="0.59996337778862885"/>
                </patternFill>
              </fill>
            </x14:dxf>
          </x14:cfRule>
          <x14:cfRule type="expression" priority="47" id="{1424242C-FBB8-D24D-BDB5-1A4762F47231}">
            <xm:f>OR(Juni!$C9="lejrskole")</xm:f>
            <x14:dxf>
              <font>
                <color theme="1"/>
              </font>
              <fill>
                <patternFill>
                  <bgColor theme="8" tint="0.59996337778862885"/>
                </patternFill>
              </fill>
            </x14:dxf>
          </x14:cfRule>
          <x14:cfRule type="expression" priority="46" id="{929A9DD8-CC91-C644-BF67-D6FE634ED795}">
            <xm:f>OR(Juni!$C9="ekskursion")</xm:f>
            <x14:dxf>
              <font>
                <color theme="1"/>
              </font>
              <fill>
                <patternFill>
                  <bgColor rgb="FFFFFF00"/>
                </patternFill>
              </fill>
            </x14:dxf>
          </x14:cfRule>
          <x14:cfRule type="expression" priority="45" id="{E0EAF2A4-095E-234E-B0BB-557171345B2A}">
            <xm:f>OR(Juni!$C9="SH-dag")</xm:f>
            <x14:dxf>
              <font>
                <color theme="1"/>
              </font>
              <fill>
                <patternFill>
                  <bgColor rgb="FFFF2F82"/>
                </patternFill>
              </fill>
            </x14:dxf>
          </x14:cfRule>
          <x14:cfRule type="expression" priority="44" id="{6984B7EC-16D3-4C4A-BA3B-40F03CB56610}">
            <xm:f>OR(Juni!$C9="nul-dag")</xm:f>
            <x14:dxf>
              <font>
                <color theme="1"/>
              </font>
              <fill>
                <patternFill>
                  <bgColor theme="5" tint="0.79998168889431442"/>
                </patternFill>
              </fill>
            </x14:dxf>
          </x14:cfRule>
          <x14:cfRule type="expression" priority="43" id="{D966B48E-945A-A64F-9C79-43029C85E30F}">
            <xm:f>OR(Juni!$C9="pæd.dag")</xm:f>
            <x14:dxf>
              <font>
                <color theme="1"/>
              </font>
              <fill>
                <patternFill>
                  <bgColor theme="7" tint="0.39994506668294322"/>
                </patternFill>
              </fill>
            </x14:dxf>
          </x14:cfRule>
          <x14:cfRule type="expression" priority="5" id="{9F57C169-AA27-104B-AD9F-B4377E1640CB}">
            <xm:f>OR(Juni!$C9="Skema 1")</xm:f>
            <x14:dxf>
              <font>
                <color theme="1"/>
              </font>
              <fill>
                <patternFill>
                  <bgColor theme="4" tint="0.79998168889431442"/>
                </patternFill>
              </fill>
            </x14:dxf>
          </x14:cfRule>
          <x14:cfRule type="expression" priority="6" id="{E0BFBAEA-0D07-8347-BF7D-0D8EBD03E44E}">
            <xm:f>OR(Juni!$C9="Skema 2")</xm:f>
            <x14:dxf>
              <font>
                <color theme="1"/>
              </font>
              <fill>
                <patternFill>
                  <bgColor theme="4" tint="0.59996337778862885"/>
                </patternFill>
              </fill>
            </x14:dxf>
          </x14:cfRule>
          <x14:cfRule type="expression" priority="7" id="{43FD1777-4FED-EC45-A034-2F64B6909D76}">
            <xm:f>OR(Juni!$C9="Skema 3")</xm:f>
            <x14:dxf>
              <font>
                <color theme="0"/>
              </font>
              <fill>
                <patternFill>
                  <bgColor theme="4" tint="0.39994506668294322"/>
                </patternFill>
              </fill>
            </x14:dxf>
          </x14:cfRule>
          <x14:cfRule type="expression" priority="8" id="{CC0D2052-B582-BC4E-8EC0-5218D205E5D8}">
            <xm:f>OR(Juni!$C9="Skema 4")</xm:f>
            <x14:dxf>
              <font>
                <color theme="0"/>
              </font>
              <fill>
                <patternFill>
                  <bgColor theme="4" tint="-0.24994659260841701"/>
                </patternFill>
              </fill>
            </x14:dxf>
          </x14:cfRule>
          <x14:cfRule type="expression" priority="26" id="{F0ABB181-A066-8D49-86E7-9AEF13BDC583}">
            <xm:f>OR(Juni!$C9="Ikke relevant")</xm:f>
            <x14:dxf>
              <font>
                <color theme="0"/>
              </font>
              <fill>
                <patternFill>
                  <bgColor theme="1"/>
                </patternFill>
              </fill>
            </x14:dxf>
          </x14:cfRule>
          <xm:sqref>U3:Y32</xm:sqref>
        </x14:conditionalFormatting>
        <x14:conditionalFormatting xmlns:xm="http://schemas.microsoft.com/office/excel/2006/main">
          <x14:cfRule type="expression" priority="37" id="{68A3A017-2778-6742-A269-1079E334C9D2}">
            <xm:f>OR(Juli!$C9="lejrskole")</xm:f>
            <x14:dxf>
              <font>
                <color theme="1"/>
              </font>
              <fill>
                <patternFill>
                  <bgColor theme="8" tint="0.59996337778862885"/>
                </patternFill>
              </fill>
            </x14:dxf>
          </x14:cfRule>
          <x14:cfRule type="expression" priority="36" id="{1CE3DB7B-733A-E640-B601-A4D92D9964F8}">
            <xm:f>OR(Juli!$C9="ekskursion")</xm:f>
            <x14:dxf>
              <font>
                <color theme="1"/>
              </font>
              <fill>
                <patternFill>
                  <bgColor rgb="FFFFFF00"/>
                </patternFill>
              </fill>
            </x14:dxf>
          </x14:cfRule>
          <x14:cfRule type="expression" priority="35" id="{099C738A-55FA-FF4B-83F9-9DBABCB4DF0F}">
            <xm:f>OR(Juli!$C9="SH-dag")</xm:f>
            <x14:dxf>
              <font>
                <color theme="1"/>
              </font>
              <fill>
                <patternFill>
                  <bgColor rgb="FFFF2F82"/>
                </patternFill>
              </fill>
            </x14:dxf>
          </x14:cfRule>
          <x14:cfRule type="expression" priority="34" id="{93A40936-AA49-0443-9ADE-D6753D0D065C}">
            <xm:f>OR(Juli!$C9="nul-dag")</xm:f>
            <x14:dxf>
              <font>
                <color theme="1"/>
              </font>
              <fill>
                <patternFill>
                  <bgColor theme="5" tint="0.79998168889431442"/>
                </patternFill>
              </fill>
            </x14:dxf>
          </x14:cfRule>
          <x14:cfRule type="expression" priority="33" id="{D517ADF8-817F-054B-9146-3E87DEC8739B}">
            <xm:f>OR(Juli!$C9="pæd.dag")</xm:f>
            <x14:dxf>
              <font>
                <color theme="1"/>
              </font>
              <fill>
                <patternFill>
                  <bgColor theme="7" tint="0.39994506668294322"/>
                </patternFill>
              </fill>
            </x14:dxf>
          </x14:cfRule>
          <x14:cfRule type="expression" priority="38" id="{859ACBD8-07BA-B942-AF66-F8C8D62755F0}">
            <xm:f>OR(Juli!$C9="emnedag")</xm:f>
            <x14:dxf>
              <font>
                <color theme="1"/>
              </font>
              <fill>
                <patternFill>
                  <bgColor theme="5" tint="0.59996337778862885"/>
                </patternFill>
              </fill>
            </x14:dxf>
          </x14:cfRule>
          <x14:cfRule type="expression" priority="25" id="{F0BEE529-422E-E340-A6EC-06762E977344}">
            <xm:f>OR(Juli!$C9="Ikke relevant")</xm:f>
            <x14:dxf>
              <font>
                <color theme="0"/>
              </font>
              <fill>
                <patternFill>
                  <bgColor theme="1"/>
                </patternFill>
              </fill>
            </x14:dxf>
          </x14:cfRule>
          <x14:cfRule type="expression" priority="39" id="{085CD43C-CE64-454C-BA3B-E1E7DF101E99}">
            <xm:f>OR(Juli!$C9="fagdag")</xm:f>
            <x14:dxf>
              <font>
                <color theme="1"/>
              </font>
              <fill>
                <patternFill>
                  <bgColor theme="9" tint="0.59996337778862885"/>
                </patternFill>
              </fill>
            </x14:dxf>
          </x14:cfRule>
          <x14:cfRule type="expression" priority="40" id="{11A4B951-B98F-A043-A2A9-84ECB369DD41}">
            <xm:f>OR(Juli!$C9="feriedag")</xm:f>
            <x14:dxf>
              <font>
                <color theme="1"/>
              </font>
              <fill>
                <patternFill>
                  <bgColor theme="6" tint="0.39994506668294322"/>
                </patternFill>
              </fill>
            </x14:dxf>
          </x14:cfRule>
          <x14:cfRule type="expression" priority="41" id="{00544BEC-1ED1-374C-B735-C09CF59E796D}">
            <xm:f>OR(Juli!$C9="weekend")</xm:f>
            <x14:dxf>
              <font>
                <color theme="1"/>
              </font>
              <fill>
                <patternFill>
                  <bgColor theme="0" tint="-0.14996795556505021"/>
                </patternFill>
              </fill>
            </x14:dxf>
          </x14:cfRule>
          <x14:cfRule type="expression" priority="42" stopIfTrue="1" id="{7CF96F1D-A969-D441-8FE0-B4A2FADD1DAB}">
            <xm:f>OR(Juli!$C9="Orlov")</xm:f>
            <x14:dxf>
              <font>
                <color theme="0"/>
              </font>
              <fill>
                <patternFill patternType="solid">
                  <bgColor theme="6" tint="-0.24994659260841701"/>
                </patternFill>
              </fill>
            </x14:dxf>
          </x14:cfRule>
          <x14:cfRule type="expression" priority="4" id="{FF8A0C49-7711-2148-84C9-C6A2DAD7D220}">
            <xm:f>OR(Juli!$C9="Skema 4")</xm:f>
            <x14:dxf>
              <font>
                <color theme="0"/>
              </font>
              <fill>
                <patternFill>
                  <bgColor theme="4" tint="-0.24994659260841701"/>
                </patternFill>
              </fill>
            </x14:dxf>
          </x14:cfRule>
          <x14:cfRule type="expression" priority="3" id="{FEFA4618-0E81-6343-8086-7C039E3E2BF2}">
            <xm:f>OR(Juli!$C9="Skema 3")</xm:f>
            <x14:dxf>
              <font>
                <color theme="0"/>
              </font>
              <fill>
                <patternFill>
                  <bgColor theme="4" tint="0.39994506668294322"/>
                </patternFill>
              </fill>
            </x14:dxf>
          </x14:cfRule>
          <x14:cfRule type="expression" priority="2" id="{19F797BC-D9FE-684D-9BA2-0572330AF9D9}">
            <xm:f>OR(Juli!$C9="Skema 2")</xm:f>
            <x14:dxf>
              <font>
                <color theme="1"/>
              </font>
              <fill>
                <patternFill>
                  <bgColor theme="4" tint="0.59996337778862885"/>
                </patternFill>
              </fill>
            </x14:dxf>
          </x14:cfRule>
          <x14:cfRule type="expression" priority="1" id="{AD285191-2CE1-8B4F-96B3-7DBA611FD62F}">
            <xm:f>OR(Juli!$C9="Skema 1")</xm:f>
            <x14:dxf>
              <font>
                <color theme="1"/>
              </font>
              <fill>
                <patternFill>
                  <bgColor theme="4" tint="0.79998168889431442"/>
                </patternFill>
              </fill>
            </x14:dxf>
          </x14:cfRule>
          <xm:sqref>Z3:AD33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81401-5EA6-FC49-A282-861E98E14056}">
  <sheetPr>
    <tabColor rgb="FFFFFF00"/>
  </sheetPr>
  <dimension ref="A1:I21"/>
  <sheetViews>
    <sheetView workbookViewId="0">
      <selection activeCell="A8" sqref="A8:I8"/>
    </sheetView>
  </sheetViews>
  <sheetFormatPr baseColWidth="10" defaultRowHeight="16"/>
  <sheetData>
    <row r="1" spans="1:9" ht="51" customHeight="1">
      <c r="A1" s="683" t="s">
        <v>576</v>
      </c>
      <c r="B1" s="683"/>
      <c r="C1" s="683"/>
      <c r="D1" s="683"/>
      <c r="E1" s="683"/>
      <c r="F1" s="683"/>
      <c r="G1" s="683"/>
      <c r="H1" s="683"/>
      <c r="I1" s="683"/>
    </row>
    <row r="2" spans="1:9">
      <c r="A2" s="682"/>
      <c r="B2" s="682"/>
      <c r="C2" s="682"/>
      <c r="D2" s="682"/>
      <c r="E2" s="682"/>
      <c r="F2" s="682"/>
      <c r="G2" s="682"/>
      <c r="H2" s="682"/>
      <c r="I2" s="682"/>
    </row>
    <row r="3" spans="1:9" ht="21">
      <c r="A3" s="684" t="s">
        <v>569</v>
      </c>
      <c r="B3" s="684"/>
      <c r="C3" s="684"/>
      <c r="D3" s="684"/>
      <c r="E3" s="684"/>
      <c r="F3" s="684"/>
      <c r="G3" s="684"/>
      <c r="H3" s="684"/>
      <c r="I3" s="684"/>
    </row>
    <row r="4" spans="1:9" ht="32" customHeight="1">
      <c r="A4" s="685" t="s">
        <v>570</v>
      </c>
      <c r="B4" s="685"/>
      <c r="C4" s="685"/>
      <c r="D4" s="685"/>
      <c r="E4" s="685"/>
      <c r="F4" s="685"/>
      <c r="G4" s="685"/>
      <c r="H4" s="685"/>
      <c r="I4" s="685"/>
    </row>
    <row r="5" spans="1:9">
      <c r="A5" s="682"/>
      <c r="B5" s="682"/>
      <c r="C5" s="682"/>
      <c r="D5" s="682"/>
      <c r="E5" s="682"/>
      <c r="F5" s="682"/>
      <c r="G5" s="682"/>
      <c r="H5" s="682"/>
      <c r="I5" s="682"/>
    </row>
    <row r="6" spans="1:9" ht="21">
      <c r="A6" s="684" t="s">
        <v>571</v>
      </c>
      <c r="B6" s="684"/>
      <c r="C6" s="684"/>
      <c r="D6" s="684"/>
      <c r="E6" s="684"/>
      <c r="F6" s="684"/>
      <c r="G6" s="684"/>
      <c r="H6" s="684"/>
      <c r="I6" s="684"/>
    </row>
    <row r="7" spans="1:9" ht="50" customHeight="1">
      <c r="A7" s="685" t="s">
        <v>623</v>
      </c>
      <c r="B7" s="685"/>
      <c r="C7" s="685"/>
      <c r="D7" s="685"/>
      <c r="E7" s="685"/>
      <c r="F7" s="685"/>
      <c r="G7" s="685"/>
      <c r="H7" s="685"/>
      <c r="I7" s="685"/>
    </row>
    <row r="8" spans="1:9">
      <c r="A8" s="682"/>
      <c r="B8" s="682"/>
      <c r="C8" s="682"/>
      <c r="D8" s="682"/>
      <c r="E8" s="682"/>
      <c r="F8" s="682"/>
      <c r="G8" s="682"/>
      <c r="H8" s="682"/>
      <c r="I8" s="682"/>
    </row>
    <row r="9" spans="1:9" ht="21">
      <c r="A9" s="684" t="s">
        <v>572</v>
      </c>
      <c r="B9" s="684"/>
      <c r="C9" s="684"/>
      <c r="D9" s="684"/>
      <c r="E9" s="684"/>
      <c r="F9" s="684"/>
      <c r="G9" s="684"/>
      <c r="H9" s="684"/>
      <c r="I9" s="684"/>
    </row>
    <row r="10" spans="1:9" ht="54" customHeight="1">
      <c r="A10" s="685" t="s">
        <v>573</v>
      </c>
      <c r="B10" s="685"/>
      <c r="C10" s="685"/>
      <c r="D10" s="685"/>
      <c r="E10" s="685"/>
      <c r="F10" s="685"/>
      <c r="G10" s="685"/>
      <c r="H10" s="685"/>
      <c r="I10" s="685"/>
    </row>
    <row r="11" spans="1:9">
      <c r="A11" s="682"/>
      <c r="B11" s="682"/>
      <c r="C11" s="682"/>
      <c r="D11" s="682"/>
      <c r="E11" s="682"/>
      <c r="F11" s="682"/>
      <c r="G11" s="682"/>
      <c r="H11" s="682"/>
      <c r="I11" s="682"/>
    </row>
    <row r="12" spans="1:9" ht="21">
      <c r="A12" s="684" t="s">
        <v>574</v>
      </c>
      <c r="B12" s="684"/>
      <c r="C12" s="684"/>
      <c r="D12" s="684"/>
      <c r="E12" s="684"/>
      <c r="F12" s="684"/>
      <c r="G12" s="684"/>
      <c r="H12" s="684"/>
      <c r="I12" s="684"/>
    </row>
    <row r="13" spans="1:9">
      <c r="A13" s="686" t="s">
        <v>575</v>
      </c>
      <c r="B13" s="686"/>
      <c r="C13" s="686"/>
      <c r="D13" s="686"/>
      <c r="E13" s="686"/>
      <c r="F13" s="686"/>
      <c r="G13" s="686"/>
      <c r="H13" s="686"/>
      <c r="I13" s="686"/>
    </row>
    <row r="14" spans="1:9">
      <c r="A14" s="682"/>
      <c r="B14" s="682"/>
      <c r="C14" s="682"/>
      <c r="D14" s="682"/>
      <c r="E14" s="682"/>
      <c r="F14" s="682"/>
      <c r="G14" s="682"/>
      <c r="H14" s="682"/>
      <c r="I14" s="682"/>
    </row>
    <row r="15" spans="1:9" ht="21">
      <c r="A15" s="684" t="s">
        <v>577</v>
      </c>
      <c r="B15" s="684"/>
      <c r="C15" s="684"/>
      <c r="D15" s="684"/>
      <c r="E15" s="684"/>
      <c r="F15" s="684"/>
      <c r="G15" s="684"/>
      <c r="H15" s="684"/>
      <c r="I15" s="684"/>
    </row>
    <row r="16" spans="1:9">
      <c r="A16" s="686" t="s">
        <v>578</v>
      </c>
      <c r="B16" s="686"/>
      <c r="C16" s="686"/>
      <c r="D16" s="686"/>
      <c r="E16" s="686"/>
      <c r="F16" s="686"/>
      <c r="G16" s="686"/>
      <c r="H16" s="686"/>
      <c r="I16" s="686"/>
    </row>
    <row r="17" spans="1:9">
      <c r="A17" s="686"/>
      <c r="B17" s="686"/>
      <c r="C17" s="686"/>
      <c r="D17" s="686"/>
      <c r="E17" s="686"/>
      <c r="F17" s="686"/>
      <c r="G17" s="686"/>
      <c r="H17" s="686"/>
      <c r="I17" s="686"/>
    </row>
    <row r="18" spans="1:9" ht="21">
      <c r="A18" s="684" t="s">
        <v>596</v>
      </c>
      <c r="B18" s="684"/>
      <c r="C18" s="684"/>
      <c r="D18" s="684"/>
      <c r="E18" s="684"/>
      <c r="F18" s="684"/>
      <c r="G18" s="684"/>
      <c r="H18" s="684"/>
      <c r="I18" s="684"/>
    </row>
    <row r="19" spans="1:9" ht="32" customHeight="1">
      <c r="A19" s="685" t="s">
        <v>597</v>
      </c>
      <c r="B19" s="685"/>
      <c r="C19" s="685"/>
      <c r="D19" s="685"/>
      <c r="E19" s="685"/>
      <c r="F19" s="685"/>
      <c r="G19" s="685"/>
      <c r="H19" s="685"/>
      <c r="I19" s="685"/>
    </row>
    <row r="21" spans="1:9" ht="21">
      <c r="A21" s="687" t="s">
        <v>598</v>
      </c>
      <c r="B21" s="687"/>
      <c r="C21" s="687"/>
      <c r="D21" s="687"/>
      <c r="E21" s="687"/>
      <c r="F21" s="687"/>
      <c r="G21" s="687"/>
      <c r="H21" s="687"/>
      <c r="I21" s="687"/>
    </row>
  </sheetData>
  <sheetProtection sheet="1" objects="1" scenarios="1"/>
  <mergeCells count="20">
    <mergeCell ref="A19:I19"/>
    <mergeCell ref="A14:I14"/>
    <mergeCell ref="A17:I17"/>
    <mergeCell ref="A18:I18"/>
    <mergeCell ref="A21:I21"/>
    <mergeCell ref="A11:I11"/>
    <mergeCell ref="A15:I15"/>
    <mergeCell ref="A16:I16"/>
    <mergeCell ref="A13:I13"/>
    <mergeCell ref="A12:I12"/>
    <mergeCell ref="A1:I1"/>
    <mergeCell ref="A3:I3"/>
    <mergeCell ref="A4:I4"/>
    <mergeCell ref="A7:I7"/>
    <mergeCell ref="A10:I10"/>
    <mergeCell ref="A9:I9"/>
    <mergeCell ref="A6:I6"/>
    <mergeCell ref="A2:I2"/>
    <mergeCell ref="A5:I5"/>
    <mergeCell ref="A8:I8"/>
  </mergeCells>
  <pageMargins left="0.7" right="0.7" top="0.75" bottom="0.75" header="0.3" footer="0.3"/>
  <pageSetup paperSize="9"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F37F-BAC0-8B4C-A174-594CA26E1EE1}">
  <sheetPr>
    <tabColor theme="4" tint="0.59999389629810485"/>
    <pageSetUpPr fitToPage="1"/>
  </sheetPr>
  <dimension ref="A1:G22"/>
  <sheetViews>
    <sheetView showZeros="0" workbookViewId="0">
      <selection activeCell="H2" sqref="H2"/>
    </sheetView>
  </sheetViews>
  <sheetFormatPr baseColWidth="10" defaultRowHeight="16"/>
  <cols>
    <col min="3" max="7" width="15.83203125" customWidth="1"/>
  </cols>
  <sheetData>
    <row r="1" spans="1:7" ht="32" customHeight="1">
      <c r="A1" s="786" t="str">
        <f>Skemaoplysninger!A5</f>
        <v>Skema 1</v>
      </c>
      <c r="B1" s="786"/>
      <c r="C1" s="786"/>
      <c r="D1" s="786"/>
      <c r="E1" s="786"/>
      <c r="F1" s="786"/>
      <c r="G1" s="787"/>
    </row>
    <row r="2" spans="1:7" ht="32" customHeight="1">
      <c r="A2" s="1321" t="s">
        <v>222</v>
      </c>
      <c r="B2" s="1321"/>
      <c r="C2" s="1321"/>
      <c r="D2" s="1322">
        <f>Skemaoplysninger!F7</f>
        <v>0</v>
      </c>
      <c r="E2" s="1322"/>
      <c r="F2" s="1322">
        <f>Skemaoplysninger!H7</f>
        <v>0</v>
      </c>
      <c r="G2" s="1322"/>
    </row>
    <row r="3" spans="1:7" s="52" customFormat="1" ht="32" customHeight="1">
      <c r="A3" s="287" t="s">
        <v>65</v>
      </c>
      <c r="B3" s="287" t="s">
        <v>66</v>
      </c>
      <c r="C3" s="288" t="s">
        <v>34</v>
      </c>
      <c r="D3" s="288" t="s">
        <v>35</v>
      </c>
      <c r="E3" s="288" t="s">
        <v>36</v>
      </c>
      <c r="F3" s="288" t="s">
        <v>37</v>
      </c>
      <c r="G3" s="289" t="s">
        <v>38</v>
      </c>
    </row>
    <row r="4" spans="1:7" ht="20" customHeight="1">
      <c r="A4" s="38" t="str">
        <f>IF(Skemaoplysninger!B11&gt;0,Skemaoplysninger!C11,"")</f>
        <v/>
      </c>
      <c r="B4" s="38" t="str">
        <f>IF(Skemaoplysninger!B11&gt;0,Skemaoplysninger!D11,"")</f>
        <v/>
      </c>
      <c r="C4" s="29" t="str">
        <f>IF(Skemaoplysninger!E11&gt;0,Skemaoplysninger!E11,"")</f>
        <v/>
      </c>
      <c r="D4" s="29" t="str">
        <f>IF(Skemaoplysninger!F11&gt;0,Skemaoplysninger!F11,"")</f>
        <v/>
      </c>
      <c r="E4" s="29" t="str">
        <f>IF(Skemaoplysninger!G11&gt;0,Skemaoplysninger!G11,"")</f>
        <v/>
      </c>
      <c r="F4" s="29" t="str">
        <f>IF(Skemaoplysninger!H11&gt;0,Skemaoplysninger!H11,"")</f>
        <v/>
      </c>
      <c r="G4" s="29" t="str">
        <f>IF(Skemaoplysninger!I11&gt;0,Skemaoplysninger!I11,"")</f>
        <v/>
      </c>
    </row>
    <row r="5" spans="1:7" ht="20" customHeight="1">
      <c r="A5" s="39" t="str">
        <f>IF(Skemaoplysninger!B12&gt;0,Skemaoplysninger!C12,"")</f>
        <v/>
      </c>
      <c r="B5" s="39" t="str">
        <f>IF(Skemaoplysninger!B12&gt;0,Skemaoplysninger!D12,"")</f>
        <v/>
      </c>
      <c r="C5" s="290" t="str">
        <f>IF(Skemaoplysninger!E12&gt;0,Skemaoplysninger!E12,"")</f>
        <v/>
      </c>
      <c r="D5" s="290" t="str">
        <f>IF(Skemaoplysninger!F12&gt;0,Skemaoplysninger!F12,"")</f>
        <v/>
      </c>
      <c r="E5" s="290" t="str">
        <f>IF(Skemaoplysninger!G12&gt;0,Skemaoplysninger!G12,"")</f>
        <v/>
      </c>
      <c r="F5" s="290" t="str">
        <f>IF(Skemaoplysninger!H12&gt;0,Skemaoplysninger!H12,"")</f>
        <v/>
      </c>
      <c r="G5" s="290" t="str">
        <f>IF(Skemaoplysninger!I12&gt;0,Skemaoplysninger!I12,"")</f>
        <v/>
      </c>
    </row>
    <row r="6" spans="1:7" ht="20" customHeight="1">
      <c r="A6" s="38" t="str">
        <f>IF(Skemaoplysninger!B13&gt;0,Skemaoplysninger!C13,"")</f>
        <v/>
      </c>
      <c r="B6" s="38" t="str">
        <f>IF(Skemaoplysninger!B13&gt;0,Skemaoplysninger!D13,"")</f>
        <v/>
      </c>
      <c r="C6" s="29" t="str">
        <f>IF(Skemaoplysninger!E13&gt;0,Skemaoplysninger!E13,"")</f>
        <v/>
      </c>
      <c r="D6" s="29" t="str">
        <f>IF(Skemaoplysninger!F13&gt;0,Skemaoplysninger!F13,"")</f>
        <v/>
      </c>
      <c r="E6" s="29" t="str">
        <f>IF(Skemaoplysninger!G13&gt;0,Skemaoplysninger!G13,"")</f>
        <v/>
      </c>
      <c r="F6" s="29" t="str">
        <f>IF(Skemaoplysninger!H13&gt;0,Skemaoplysninger!H13,"")</f>
        <v/>
      </c>
      <c r="G6" s="29" t="str">
        <f>IF(Skemaoplysninger!I13&gt;0,Skemaoplysninger!I13,"")</f>
        <v/>
      </c>
    </row>
    <row r="7" spans="1:7" ht="20" customHeight="1">
      <c r="A7" s="39" t="str">
        <f>IF(Skemaoplysninger!B14&gt;0,Skemaoplysninger!C14,"")</f>
        <v/>
      </c>
      <c r="B7" s="39" t="str">
        <f>IF(Skemaoplysninger!B14&gt;0,Skemaoplysninger!D14,"")</f>
        <v/>
      </c>
      <c r="C7" s="290" t="str">
        <f>IF(Skemaoplysninger!E14&gt;0,Skemaoplysninger!E14,"")</f>
        <v/>
      </c>
      <c r="D7" s="290" t="str">
        <f>IF(Skemaoplysninger!F14&gt;0,Skemaoplysninger!F14,"")</f>
        <v/>
      </c>
      <c r="E7" s="290" t="str">
        <f>IF(Skemaoplysninger!G14&gt;0,Skemaoplysninger!G14,"")</f>
        <v/>
      </c>
      <c r="F7" s="290" t="str">
        <f>IF(Skemaoplysninger!H14&gt;0,Skemaoplysninger!H14,"")</f>
        <v/>
      </c>
      <c r="G7" s="290" t="str">
        <f>IF(Skemaoplysninger!I14&gt;0,Skemaoplysninger!I14,"")</f>
        <v/>
      </c>
    </row>
    <row r="8" spans="1:7" ht="20" customHeight="1">
      <c r="A8" s="38" t="str">
        <f>IF(Skemaoplysninger!B15&gt;0,Skemaoplysninger!C15,"")</f>
        <v/>
      </c>
      <c r="B8" s="38" t="str">
        <f>IF(Skemaoplysninger!B15&gt;0,Skemaoplysninger!D15,"")</f>
        <v/>
      </c>
      <c r="C8" s="29" t="str">
        <f>IF(Skemaoplysninger!E15&gt;0,Skemaoplysninger!E15,"")</f>
        <v/>
      </c>
      <c r="D8" s="29" t="str">
        <f>IF(Skemaoplysninger!F15&gt;0,Skemaoplysninger!F15,"")</f>
        <v/>
      </c>
      <c r="E8" s="29" t="str">
        <f>IF(Skemaoplysninger!G15&gt;0,Skemaoplysninger!G15,"")</f>
        <v/>
      </c>
      <c r="F8" s="29" t="str">
        <f>IF(Skemaoplysninger!H15&gt;0,Skemaoplysninger!H15,"")</f>
        <v/>
      </c>
      <c r="G8" s="29" t="str">
        <f>IF(Skemaoplysninger!I15&gt;0,Skemaoplysninger!I15,"")</f>
        <v/>
      </c>
    </row>
    <row r="9" spans="1:7" ht="20" customHeight="1">
      <c r="A9" s="39" t="str">
        <f>IF(Skemaoplysninger!B16&gt;0,Skemaoplysninger!C16,"")</f>
        <v/>
      </c>
      <c r="B9" s="39" t="str">
        <f>IF(Skemaoplysninger!B16&gt;0,Skemaoplysninger!D16,"")</f>
        <v/>
      </c>
      <c r="C9" s="290" t="str">
        <f>IF(Skemaoplysninger!E16&gt;0,Skemaoplysninger!E16,"")</f>
        <v/>
      </c>
      <c r="D9" s="290" t="str">
        <f>IF(Skemaoplysninger!F16&gt;0,Skemaoplysninger!F16,"")</f>
        <v/>
      </c>
      <c r="E9" s="290" t="str">
        <f>IF(Skemaoplysninger!G16&gt;0,Skemaoplysninger!G16,"")</f>
        <v/>
      </c>
      <c r="F9" s="290" t="str">
        <f>IF(Skemaoplysninger!H16&gt;0,Skemaoplysninger!H16,"")</f>
        <v/>
      </c>
      <c r="G9" s="290" t="str">
        <f>IF(Skemaoplysninger!I16&gt;0,Skemaoplysninger!I16,"")</f>
        <v/>
      </c>
    </row>
    <row r="10" spans="1:7" ht="20" customHeight="1">
      <c r="A10" s="38" t="str">
        <f>IF(Skemaoplysninger!B17&gt;0,Skemaoplysninger!C17,"")</f>
        <v/>
      </c>
      <c r="B10" s="38" t="str">
        <f>IF(Skemaoplysninger!B17&gt;0,Skemaoplysninger!D17,"")</f>
        <v/>
      </c>
      <c r="C10" s="29" t="str">
        <f>IF(Skemaoplysninger!E17&gt;0,Skemaoplysninger!E17,"")</f>
        <v/>
      </c>
      <c r="D10" s="29" t="str">
        <f>IF(Skemaoplysninger!F17&gt;0,Skemaoplysninger!F17,"")</f>
        <v/>
      </c>
      <c r="E10" s="29" t="str">
        <f>IF(Skemaoplysninger!G17&gt;0,Skemaoplysninger!G17,"")</f>
        <v/>
      </c>
      <c r="F10" s="29" t="str">
        <f>IF(Skemaoplysninger!H17&gt;0,Skemaoplysninger!H17,"")</f>
        <v/>
      </c>
      <c r="G10" s="29" t="str">
        <f>IF(Skemaoplysninger!I17&gt;0,Skemaoplysninger!I17,"")</f>
        <v/>
      </c>
    </row>
    <row r="11" spans="1:7" ht="20" customHeight="1">
      <c r="A11" s="39" t="str">
        <f>IF(Skemaoplysninger!B18&gt;0,Skemaoplysninger!C18,"")</f>
        <v/>
      </c>
      <c r="B11" s="39" t="str">
        <f>IF(Skemaoplysninger!B18&gt;0,Skemaoplysninger!D18,"")</f>
        <v/>
      </c>
      <c r="C11" s="290" t="str">
        <f>IF(Skemaoplysninger!E18&gt;0,Skemaoplysninger!E18,"")</f>
        <v/>
      </c>
      <c r="D11" s="290" t="str">
        <f>IF(Skemaoplysninger!F18&gt;0,Skemaoplysninger!F18,"")</f>
        <v/>
      </c>
      <c r="E11" s="290" t="str">
        <f>IF(Skemaoplysninger!G18&gt;0,Skemaoplysninger!G18,"")</f>
        <v/>
      </c>
      <c r="F11" s="290" t="str">
        <f>IF(Skemaoplysninger!H18&gt;0,Skemaoplysninger!H18,"")</f>
        <v/>
      </c>
      <c r="G11" s="290" t="str">
        <f>IF(Skemaoplysninger!I18&gt;0,Skemaoplysninger!I18,"")</f>
        <v/>
      </c>
    </row>
    <row r="12" spans="1:7" ht="20" customHeight="1">
      <c r="A12" s="38" t="str">
        <f>IF(Skemaoplysninger!B19&gt;0,Skemaoplysninger!C19,"")</f>
        <v/>
      </c>
      <c r="B12" s="38" t="str">
        <f>IF(Skemaoplysninger!B19&gt;0,Skemaoplysninger!D19,"")</f>
        <v/>
      </c>
      <c r="C12" s="29" t="str">
        <f>IF(Skemaoplysninger!E19&gt;0,Skemaoplysninger!E19,"")</f>
        <v/>
      </c>
      <c r="D12" s="29" t="str">
        <f>IF(Skemaoplysninger!F19&gt;0,Skemaoplysninger!F19,"")</f>
        <v/>
      </c>
      <c r="E12" s="29" t="str">
        <f>IF(Skemaoplysninger!G19&gt;0,Skemaoplysninger!G19,"")</f>
        <v/>
      </c>
      <c r="F12" s="29" t="str">
        <f>IF(Skemaoplysninger!H19&gt;0,Skemaoplysninger!H19,"")</f>
        <v/>
      </c>
      <c r="G12" s="29" t="str">
        <f>IF(Skemaoplysninger!I19&gt;0,Skemaoplysninger!I19,"")</f>
        <v/>
      </c>
    </row>
    <row r="13" spans="1:7" ht="20" customHeight="1">
      <c r="A13" s="39" t="str">
        <f>IF(Skemaoplysninger!B20&gt;0,Skemaoplysninger!C20,"")</f>
        <v/>
      </c>
      <c r="B13" s="39" t="str">
        <f>IF(Skemaoplysninger!B20&gt;0,Skemaoplysninger!D20,"")</f>
        <v/>
      </c>
      <c r="C13" s="290" t="str">
        <f>IF(Skemaoplysninger!E20&gt;0,Skemaoplysninger!E20,"")</f>
        <v/>
      </c>
      <c r="D13" s="290" t="str">
        <f>IF(Skemaoplysninger!F20&gt;0,Skemaoplysninger!F20,"")</f>
        <v/>
      </c>
      <c r="E13" s="290" t="str">
        <f>IF(Skemaoplysninger!G20&gt;0,Skemaoplysninger!G20,"")</f>
        <v/>
      </c>
      <c r="F13" s="290" t="str">
        <f>IF(Skemaoplysninger!H20&gt;0,Skemaoplysninger!H20,"")</f>
        <v/>
      </c>
      <c r="G13" s="290" t="str">
        <f>IF(Skemaoplysninger!I20&gt;0,Skemaoplysninger!I20,"")</f>
        <v/>
      </c>
    </row>
    <row r="14" spans="1:7" ht="20" customHeight="1">
      <c r="A14" s="38" t="str">
        <f>IF(Skemaoplysninger!B21&gt;0,Skemaoplysninger!C21,"")</f>
        <v/>
      </c>
      <c r="B14" s="38" t="str">
        <f>IF(Skemaoplysninger!B21&gt;0,Skemaoplysninger!D21,"")</f>
        <v/>
      </c>
      <c r="C14" s="29" t="str">
        <f>IF(Skemaoplysninger!E21&gt;0,Skemaoplysninger!E21,"")</f>
        <v/>
      </c>
      <c r="D14" s="29" t="str">
        <f>IF(Skemaoplysninger!F21&gt;0,Skemaoplysninger!F21,"")</f>
        <v/>
      </c>
      <c r="E14" s="29" t="str">
        <f>IF(Skemaoplysninger!G21&gt;0,Skemaoplysninger!G21,"")</f>
        <v/>
      </c>
      <c r="F14" s="29" t="str">
        <f>IF(Skemaoplysninger!H21&gt;0,Skemaoplysninger!H21,"")</f>
        <v/>
      </c>
      <c r="G14" s="29" t="str">
        <f>IF(Skemaoplysninger!I21&gt;0,Skemaoplysninger!I21,"")</f>
        <v/>
      </c>
    </row>
    <row r="15" spans="1:7" ht="20" customHeight="1">
      <c r="A15" s="39" t="str">
        <f>IF(Skemaoplysninger!B22&gt;0,Skemaoplysninger!C22,"")</f>
        <v/>
      </c>
      <c r="B15" s="39" t="str">
        <f>IF(Skemaoplysninger!B22&gt;0,Skemaoplysninger!D22,"")</f>
        <v/>
      </c>
      <c r="C15" s="290" t="str">
        <f>IF(Skemaoplysninger!E22&gt;0,Skemaoplysninger!E22,"")</f>
        <v/>
      </c>
      <c r="D15" s="290" t="str">
        <f>IF(Skemaoplysninger!F22&gt;0,Skemaoplysninger!F22,"")</f>
        <v/>
      </c>
      <c r="E15" s="290" t="str">
        <f>IF(Skemaoplysninger!G22&gt;0,Skemaoplysninger!G22,"")</f>
        <v/>
      </c>
      <c r="F15" s="290" t="str">
        <f>IF(Skemaoplysninger!H22&gt;0,Skemaoplysninger!H22,"")</f>
        <v/>
      </c>
      <c r="G15" s="290" t="str">
        <f>IF(Skemaoplysninger!I22&gt;0,Skemaoplysninger!I22,"")</f>
        <v/>
      </c>
    </row>
    <row r="16" spans="1:7" ht="20" customHeight="1">
      <c r="A16" s="38" t="str">
        <f>IF(Skemaoplysninger!B23&gt;0,Skemaoplysninger!C23,"")</f>
        <v/>
      </c>
      <c r="B16" s="38" t="str">
        <f>IF(Skemaoplysninger!B23&gt;0,Skemaoplysninger!D23,"")</f>
        <v/>
      </c>
      <c r="C16" s="29" t="str">
        <f>IF(Skemaoplysninger!E23&gt;0,Skemaoplysninger!E23,"")</f>
        <v/>
      </c>
      <c r="D16" s="29" t="str">
        <f>IF(Skemaoplysninger!F23&gt;0,Skemaoplysninger!F23,"")</f>
        <v/>
      </c>
      <c r="E16" s="29" t="str">
        <f>IF(Skemaoplysninger!G23&gt;0,Skemaoplysninger!G23,"")</f>
        <v/>
      </c>
      <c r="F16" s="29" t="str">
        <f>IF(Skemaoplysninger!H23&gt;0,Skemaoplysninger!H23,"")</f>
        <v/>
      </c>
      <c r="G16" s="29" t="str">
        <f>IF(Skemaoplysninger!I23&gt;0,Skemaoplysninger!I23,"")</f>
        <v/>
      </c>
    </row>
    <row r="17" spans="1:7" ht="20" customHeight="1">
      <c r="A17" s="39" t="str">
        <f>IF(Skemaoplysninger!B24&gt;0,Skemaoplysninger!C24,"")</f>
        <v/>
      </c>
      <c r="B17" s="39" t="str">
        <f>IF(Skemaoplysninger!B24&gt;0,Skemaoplysninger!D24,"")</f>
        <v/>
      </c>
      <c r="C17" s="290" t="str">
        <f>IF(Skemaoplysninger!E24&gt;0,Skemaoplysninger!E24,"")</f>
        <v/>
      </c>
      <c r="D17" s="290" t="str">
        <f>IF(Skemaoplysninger!F24&gt;0,Skemaoplysninger!F24,"")</f>
        <v/>
      </c>
      <c r="E17" s="290" t="str">
        <f>IF(Skemaoplysninger!G24&gt;0,Skemaoplysninger!G24,"")</f>
        <v/>
      </c>
      <c r="F17" s="290" t="str">
        <f>IF(Skemaoplysninger!H24&gt;0,Skemaoplysninger!H24,"")</f>
        <v/>
      </c>
      <c r="G17" s="290" t="str">
        <f>IF(Skemaoplysninger!I24&gt;0,Skemaoplysninger!I24,"")</f>
        <v/>
      </c>
    </row>
    <row r="18" spans="1:7" ht="20" customHeight="1">
      <c r="A18" s="38" t="str">
        <f>IF(Skemaoplysninger!B25&gt;0,Skemaoplysninger!C25,"")</f>
        <v/>
      </c>
      <c r="B18" s="38" t="str">
        <f>IF(Skemaoplysninger!B25&gt;0,Skemaoplysninger!D25,"")</f>
        <v/>
      </c>
      <c r="C18" s="29" t="str">
        <f>IF(Skemaoplysninger!E25&gt;0,Skemaoplysninger!E25,"")</f>
        <v/>
      </c>
      <c r="D18" s="29" t="str">
        <f>IF(Skemaoplysninger!F25&gt;0,Skemaoplysninger!F25,"")</f>
        <v/>
      </c>
      <c r="E18" s="29" t="str">
        <f>IF(Skemaoplysninger!G25&gt;0,Skemaoplysninger!G25,"")</f>
        <v/>
      </c>
      <c r="F18" s="29" t="str">
        <f>IF(Skemaoplysninger!H25&gt;0,Skemaoplysninger!H25,"")</f>
        <v/>
      </c>
      <c r="G18" s="29" t="str">
        <f>IF(Skemaoplysninger!I25&gt;0,Skemaoplysninger!I25,"")</f>
        <v/>
      </c>
    </row>
    <row r="19" spans="1:7" ht="20" customHeight="1">
      <c r="A19" s="39" t="str">
        <f>IF(Skemaoplysninger!B26&gt;0,Skemaoplysninger!C26,"")</f>
        <v/>
      </c>
      <c r="B19" s="39" t="str">
        <f>IF(Skemaoplysninger!B26&gt;0,Skemaoplysninger!D26,"")</f>
        <v/>
      </c>
      <c r="C19" s="290" t="str">
        <f>IF(Skemaoplysninger!E26&gt;0,Skemaoplysninger!E26,"")</f>
        <v/>
      </c>
      <c r="D19" s="290" t="str">
        <f>IF(Skemaoplysninger!F26&gt;0,Skemaoplysninger!F26,"")</f>
        <v/>
      </c>
      <c r="E19" s="290" t="str">
        <f>IF(Skemaoplysninger!G26&gt;0,Skemaoplysninger!G26,"")</f>
        <v/>
      </c>
      <c r="F19" s="290" t="str">
        <f>IF(Skemaoplysninger!H26&gt;0,Skemaoplysninger!H26,"")</f>
        <v/>
      </c>
      <c r="G19" s="290" t="str">
        <f>IF(Skemaoplysninger!I26&gt;0,Skemaoplysninger!I26,"")</f>
        <v/>
      </c>
    </row>
    <row r="20" spans="1:7" ht="20" customHeight="1">
      <c r="A20" s="38" t="str">
        <f>IF(Skemaoplysninger!B27&gt;0,Skemaoplysninger!C27,"")</f>
        <v/>
      </c>
      <c r="B20" s="38" t="str">
        <f>IF(Skemaoplysninger!B27&gt;0,Skemaoplysninger!D27,"")</f>
        <v/>
      </c>
      <c r="C20" s="29" t="str">
        <f>IF(Skemaoplysninger!E27&gt;0,Skemaoplysninger!E27,"")</f>
        <v/>
      </c>
      <c r="D20" s="29" t="str">
        <f>IF(Skemaoplysninger!F27&gt;0,Skemaoplysninger!F27,"")</f>
        <v/>
      </c>
      <c r="E20" s="29" t="str">
        <f>IF(Skemaoplysninger!G27&gt;0,Skemaoplysninger!G27,"")</f>
        <v/>
      </c>
      <c r="F20" s="29" t="str">
        <f>IF(Skemaoplysninger!H27&gt;0,Skemaoplysninger!H27,"")</f>
        <v/>
      </c>
      <c r="G20" s="29" t="str">
        <f>IF(Skemaoplysninger!I27&gt;0,Skemaoplysninger!I27,"")</f>
        <v/>
      </c>
    </row>
    <row r="21" spans="1:7" ht="20" customHeight="1">
      <c r="A21" s="39" t="str">
        <f>IF(Skemaoplysninger!B28&gt;0,Skemaoplysninger!C28,"")</f>
        <v/>
      </c>
      <c r="B21" s="39" t="str">
        <f>IF(Skemaoplysninger!B28&gt;0,Skemaoplysninger!D28,"")</f>
        <v/>
      </c>
      <c r="C21" s="290" t="str">
        <f>IF(Skemaoplysninger!E28&gt;0,Skemaoplysninger!E28,"")</f>
        <v/>
      </c>
      <c r="D21" s="290" t="str">
        <f>IF(Skemaoplysninger!F28&gt;0,Skemaoplysninger!F28,"")</f>
        <v/>
      </c>
      <c r="E21" s="290" t="str">
        <f>IF(Skemaoplysninger!G28&gt;0,Skemaoplysninger!G28,"")</f>
        <v/>
      </c>
      <c r="F21" s="290" t="str">
        <f>IF(Skemaoplysninger!H28&gt;0,Skemaoplysninger!H28,"")</f>
        <v/>
      </c>
      <c r="G21" s="290" t="str">
        <f>IF(Skemaoplysninger!I28&gt;0,Skemaoplysninger!I28,"")</f>
        <v/>
      </c>
    </row>
    <row r="22" spans="1:7" ht="20" customHeight="1">
      <c r="A22" s="38" t="str">
        <f>IF(Skemaoplysninger!B29&gt;0,Skemaoplysninger!C29,"")</f>
        <v/>
      </c>
      <c r="B22" s="38" t="str">
        <f>IF(Skemaoplysninger!B29&gt;0,Skemaoplysninger!D29,"")</f>
        <v/>
      </c>
      <c r="C22" s="29" t="str">
        <f>IF(Skemaoplysninger!E29&gt;0,Skemaoplysninger!E29,"")</f>
        <v/>
      </c>
      <c r="D22" s="29" t="str">
        <f>IF(Skemaoplysninger!F29&gt;0,Skemaoplysninger!F29,"")</f>
        <v/>
      </c>
      <c r="E22" s="29" t="str">
        <f>IF(Skemaoplysninger!G29&gt;0,Skemaoplysninger!G29,"")</f>
        <v/>
      </c>
      <c r="F22" s="29" t="str">
        <f>IF(Skemaoplysninger!H29&gt;0,Skemaoplysninger!H29,"")</f>
        <v/>
      </c>
      <c r="G22" s="29" t="str">
        <f>IF(Skemaoplysninger!I29&gt;0,Skemaoplysninger!I29,"")</f>
        <v/>
      </c>
    </row>
  </sheetData>
  <sheetProtection sheet="1" objects="1" scenarios="1"/>
  <mergeCells count="4">
    <mergeCell ref="A2:C2"/>
    <mergeCell ref="A1:G1"/>
    <mergeCell ref="D2:E2"/>
    <mergeCell ref="F2:G2"/>
  </mergeCells>
  <pageMargins left="0.7" right="0.7" top="0.75" bottom="0.75" header="0.3" footer="0.3"/>
  <pageSetup paperSize="9" orientation="landscape"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129-A31A-D544-B54A-BB9B235AD3BB}">
  <sheetPr>
    <tabColor theme="4" tint="0.59999389629810485"/>
  </sheetPr>
  <dimension ref="A1:G22"/>
  <sheetViews>
    <sheetView showZeros="0" workbookViewId="0">
      <selection activeCell="H2" sqref="H2"/>
    </sheetView>
  </sheetViews>
  <sheetFormatPr baseColWidth="10" defaultRowHeight="16"/>
  <cols>
    <col min="3" max="7" width="15.83203125" customWidth="1"/>
  </cols>
  <sheetData>
    <row r="1" spans="1:7" ht="32" customHeight="1">
      <c r="A1" s="786" t="str">
        <f>Skemaoplysninger!K5</f>
        <v>Skema 2</v>
      </c>
      <c r="B1" s="786"/>
      <c r="C1" s="786"/>
      <c r="D1" s="786"/>
      <c r="E1" s="786"/>
      <c r="F1" s="786"/>
      <c r="G1" s="787"/>
    </row>
    <row r="2" spans="1:7" ht="32" customHeight="1">
      <c r="A2" s="1321" t="s">
        <v>222</v>
      </c>
      <c r="B2" s="1321"/>
      <c r="C2" s="1321"/>
      <c r="D2" s="1322">
        <f>Skemaoplysninger!P7</f>
        <v>0</v>
      </c>
      <c r="E2" s="1322"/>
      <c r="F2" s="1322">
        <f>Skemaoplysninger!R7</f>
        <v>0</v>
      </c>
      <c r="G2" s="1322"/>
    </row>
    <row r="3" spans="1:7" ht="32" customHeight="1">
      <c r="A3" s="287" t="s">
        <v>65</v>
      </c>
      <c r="B3" s="287" t="s">
        <v>66</v>
      </c>
      <c r="C3" s="288" t="s">
        <v>34</v>
      </c>
      <c r="D3" s="288" t="s">
        <v>35</v>
      </c>
      <c r="E3" s="288" t="s">
        <v>36</v>
      </c>
      <c r="F3" s="288" t="s">
        <v>37</v>
      </c>
      <c r="G3" s="289" t="s">
        <v>38</v>
      </c>
    </row>
    <row r="4" spans="1:7" ht="20" customHeight="1">
      <c r="A4" s="38" t="str">
        <f>IF(Skemaoplysninger!$L11&gt;0,Skemaoplysninger!$M11,"")</f>
        <v/>
      </c>
      <c r="B4" s="38" t="str">
        <f>IF(Skemaoplysninger!$L11&gt;0,Skemaoplysninger!$N11,"")</f>
        <v/>
      </c>
      <c r="C4" s="35" t="str">
        <f>IF(Skemaoplysninger!$L11&gt;0,Skemaoplysninger!O11,"")</f>
        <v/>
      </c>
      <c r="D4" s="35" t="str">
        <f>IF(Skemaoplysninger!$L11&gt;0,Skemaoplysninger!P11,"")</f>
        <v/>
      </c>
      <c r="E4" s="35" t="str">
        <f>IF(Skemaoplysninger!$L11&gt;0,Skemaoplysninger!Q11,"")</f>
        <v/>
      </c>
      <c r="F4" s="35" t="str">
        <f>IF(Skemaoplysninger!$L11&gt;0,Skemaoplysninger!R11,"")</f>
        <v/>
      </c>
      <c r="G4" s="35" t="str">
        <f>IF(Skemaoplysninger!$L11&gt;0,Skemaoplysninger!S11,"")</f>
        <v/>
      </c>
    </row>
    <row r="5" spans="1:7" ht="20" customHeight="1">
      <c r="A5" s="39" t="str">
        <f>IF(Skemaoplysninger!$L12&gt;0,Skemaoplysninger!$M12,"")</f>
        <v/>
      </c>
      <c r="B5" s="39" t="str">
        <f>IF(Skemaoplysninger!$L12&gt;0,Skemaoplysninger!$N12,"")</f>
        <v/>
      </c>
      <c r="C5" s="412" t="str">
        <f>IF(Skemaoplysninger!$L12&gt;0,Skemaoplysninger!O12,"")</f>
        <v/>
      </c>
      <c r="D5" s="412" t="str">
        <f>IF(Skemaoplysninger!$L12&gt;0,Skemaoplysninger!P12,"")</f>
        <v/>
      </c>
      <c r="E5" s="412" t="str">
        <f>IF(Skemaoplysninger!$L12&gt;0,Skemaoplysninger!Q12,"")</f>
        <v/>
      </c>
      <c r="F5" s="412" t="str">
        <f>IF(Skemaoplysninger!$L12&gt;0,Skemaoplysninger!R12,"")</f>
        <v/>
      </c>
      <c r="G5" s="412" t="str">
        <f>IF(Skemaoplysninger!$L12&gt;0,Skemaoplysninger!S12,"")</f>
        <v/>
      </c>
    </row>
    <row r="6" spans="1:7" ht="20" customHeight="1">
      <c r="A6" s="38" t="str">
        <f>IF(Skemaoplysninger!$L13&gt;0,Skemaoplysninger!$M13,"")</f>
        <v/>
      </c>
      <c r="B6" s="38" t="str">
        <f>IF(Skemaoplysninger!$L13&gt;0,Skemaoplysninger!$N13,"")</f>
        <v/>
      </c>
      <c r="C6" s="35" t="str">
        <f>IF(Skemaoplysninger!$L13&gt;0,Skemaoplysninger!O13,"")</f>
        <v/>
      </c>
      <c r="D6" s="35" t="str">
        <f>IF(Skemaoplysninger!$L13&gt;0,Skemaoplysninger!P13,"")</f>
        <v/>
      </c>
      <c r="E6" s="35" t="str">
        <f>IF(Skemaoplysninger!$L13&gt;0,Skemaoplysninger!Q13,"")</f>
        <v/>
      </c>
      <c r="F6" s="35" t="str">
        <f>IF(Skemaoplysninger!$L13&gt;0,Skemaoplysninger!R13,"")</f>
        <v/>
      </c>
      <c r="G6" s="35" t="str">
        <f>IF(Skemaoplysninger!$L13&gt;0,Skemaoplysninger!S13,"")</f>
        <v/>
      </c>
    </row>
    <row r="7" spans="1:7" ht="20" customHeight="1">
      <c r="A7" s="39" t="str">
        <f>IF(Skemaoplysninger!$L14&gt;0,Skemaoplysninger!$M14,"")</f>
        <v/>
      </c>
      <c r="B7" s="39" t="str">
        <f>IF(Skemaoplysninger!$L14&gt;0,Skemaoplysninger!$N14,"")</f>
        <v/>
      </c>
      <c r="C7" s="412" t="str">
        <f>IF(Skemaoplysninger!$L14&gt;0,Skemaoplysninger!O14,"")</f>
        <v/>
      </c>
      <c r="D7" s="412" t="str">
        <f>IF(Skemaoplysninger!$L14&gt;0,Skemaoplysninger!P14,"")</f>
        <v/>
      </c>
      <c r="E7" s="412" t="str">
        <f>IF(Skemaoplysninger!$L14&gt;0,Skemaoplysninger!Q14,"")</f>
        <v/>
      </c>
      <c r="F7" s="412" t="str">
        <f>IF(Skemaoplysninger!$L14&gt;0,Skemaoplysninger!R14,"")</f>
        <v/>
      </c>
      <c r="G7" s="412" t="str">
        <f>IF(Skemaoplysninger!$L14&gt;0,Skemaoplysninger!S14,"")</f>
        <v/>
      </c>
    </row>
    <row r="8" spans="1:7" ht="20" customHeight="1">
      <c r="A8" s="38" t="str">
        <f>IF(Skemaoplysninger!$L15&gt;0,Skemaoplysninger!$M15,"")</f>
        <v/>
      </c>
      <c r="B8" s="38" t="str">
        <f>IF(Skemaoplysninger!$L15&gt;0,Skemaoplysninger!$N15,"")</f>
        <v/>
      </c>
      <c r="C8" s="35" t="str">
        <f>IF(Skemaoplysninger!$L15&gt;0,Skemaoplysninger!O15,"")</f>
        <v/>
      </c>
      <c r="D8" s="35" t="str">
        <f>IF(Skemaoplysninger!$L15&gt;0,Skemaoplysninger!P15,"")</f>
        <v/>
      </c>
      <c r="E8" s="35" t="str">
        <f>IF(Skemaoplysninger!$L15&gt;0,Skemaoplysninger!Q15,"")</f>
        <v/>
      </c>
      <c r="F8" s="35" t="str">
        <f>IF(Skemaoplysninger!$L15&gt;0,Skemaoplysninger!R15,"")</f>
        <v/>
      </c>
      <c r="G8" s="35" t="str">
        <f>IF(Skemaoplysninger!$L15&gt;0,Skemaoplysninger!S15,"")</f>
        <v/>
      </c>
    </row>
    <row r="9" spans="1:7" ht="20" customHeight="1">
      <c r="A9" s="39" t="str">
        <f>IF(Skemaoplysninger!$L16&gt;0,Skemaoplysninger!$M16,"")</f>
        <v/>
      </c>
      <c r="B9" s="39" t="str">
        <f>IF(Skemaoplysninger!$L16&gt;0,Skemaoplysninger!$N16,"")</f>
        <v/>
      </c>
      <c r="C9" s="412" t="str">
        <f>IF(Skemaoplysninger!$L16&gt;0,Skemaoplysninger!O16,"")</f>
        <v/>
      </c>
      <c r="D9" s="412" t="str">
        <f>IF(Skemaoplysninger!$L16&gt;0,Skemaoplysninger!P16,"")</f>
        <v/>
      </c>
      <c r="E9" s="412" t="str">
        <f>IF(Skemaoplysninger!$L16&gt;0,Skemaoplysninger!Q16,"")</f>
        <v/>
      </c>
      <c r="F9" s="412" t="str">
        <f>IF(Skemaoplysninger!$L16&gt;0,Skemaoplysninger!R16,"")</f>
        <v/>
      </c>
      <c r="G9" s="412" t="str">
        <f>IF(Skemaoplysninger!$L16&gt;0,Skemaoplysninger!S16,"")</f>
        <v/>
      </c>
    </row>
    <row r="10" spans="1:7" ht="20" customHeight="1">
      <c r="A10" s="38" t="str">
        <f>IF(Skemaoplysninger!$L17&gt;0,Skemaoplysninger!$M17,"")</f>
        <v/>
      </c>
      <c r="B10" s="38" t="str">
        <f>IF(Skemaoplysninger!$L17&gt;0,Skemaoplysninger!$N17,"")</f>
        <v/>
      </c>
      <c r="C10" s="35" t="str">
        <f>IF(Skemaoplysninger!$L17&gt;0,Skemaoplysninger!O17,"")</f>
        <v/>
      </c>
      <c r="D10" s="35" t="str">
        <f>IF(Skemaoplysninger!$L17&gt;0,Skemaoplysninger!P17,"")</f>
        <v/>
      </c>
      <c r="E10" s="35" t="str">
        <f>IF(Skemaoplysninger!$L17&gt;0,Skemaoplysninger!Q17,"")</f>
        <v/>
      </c>
      <c r="F10" s="35" t="str">
        <f>IF(Skemaoplysninger!$L17&gt;0,Skemaoplysninger!R17,"")</f>
        <v/>
      </c>
      <c r="G10" s="35" t="str">
        <f>IF(Skemaoplysninger!$L17&gt;0,Skemaoplysninger!S17,"")</f>
        <v/>
      </c>
    </row>
    <row r="11" spans="1:7" ht="20" customHeight="1">
      <c r="A11" s="39" t="str">
        <f>IF(Skemaoplysninger!$L18&gt;0,Skemaoplysninger!$M18,"")</f>
        <v/>
      </c>
      <c r="B11" s="39" t="str">
        <f>IF(Skemaoplysninger!$L18&gt;0,Skemaoplysninger!$N18,"")</f>
        <v/>
      </c>
      <c r="C11" s="412" t="str">
        <f>IF(Skemaoplysninger!$L18&gt;0,Skemaoplysninger!O18,"")</f>
        <v/>
      </c>
      <c r="D11" s="412" t="str">
        <f>IF(Skemaoplysninger!$L18&gt;0,Skemaoplysninger!P18,"")</f>
        <v/>
      </c>
      <c r="E11" s="412" t="str">
        <f>IF(Skemaoplysninger!$L18&gt;0,Skemaoplysninger!Q18,"")</f>
        <v/>
      </c>
      <c r="F11" s="412" t="str">
        <f>IF(Skemaoplysninger!$L18&gt;0,Skemaoplysninger!R18,"")</f>
        <v/>
      </c>
      <c r="G11" s="412" t="str">
        <f>IF(Skemaoplysninger!$L18&gt;0,Skemaoplysninger!S18,"")</f>
        <v/>
      </c>
    </row>
    <row r="12" spans="1:7" ht="20" customHeight="1">
      <c r="A12" s="38" t="str">
        <f>IF(Skemaoplysninger!$L19&gt;0,Skemaoplysninger!$M19,"")</f>
        <v/>
      </c>
      <c r="B12" s="38" t="str">
        <f>IF(Skemaoplysninger!$L19&gt;0,Skemaoplysninger!$N19,"")</f>
        <v/>
      </c>
      <c r="C12" s="35" t="str">
        <f>IF(Skemaoplysninger!$L19&gt;0,Skemaoplysninger!O19,"")</f>
        <v/>
      </c>
      <c r="D12" s="35" t="str">
        <f>IF(Skemaoplysninger!$L19&gt;0,Skemaoplysninger!P19,"")</f>
        <v/>
      </c>
      <c r="E12" s="35" t="str">
        <f>IF(Skemaoplysninger!$L19&gt;0,Skemaoplysninger!Q19,"")</f>
        <v/>
      </c>
      <c r="F12" s="35" t="str">
        <f>IF(Skemaoplysninger!$L19&gt;0,Skemaoplysninger!R19,"")</f>
        <v/>
      </c>
      <c r="G12" s="35" t="str">
        <f>IF(Skemaoplysninger!$L19&gt;0,Skemaoplysninger!S19,"")</f>
        <v/>
      </c>
    </row>
    <row r="13" spans="1:7" ht="20" customHeight="1">
      <c r="A13" s="39" t="str">
        <f>IF(Skemaoplysninger!$L20&gt;0,Skemaoplysninger!$M20,"")</f>
        <v/>
      </c>
      <c r="B13" s="39" t="str">
        <f>IF(Skemaoplysninger!$L20&gt;0,Skemaoplysninger!$N20,"")</f>
        <v/>
      </c>
      <c r="C13" s="412" t="str">
        <f>IF(Skemaoplysninger!$L20&gt;0,Skemaoplysninger!O20,"")</f>
        <v/>
      </c>
      <c r="D13" s="412" t="str">
        <f>IF(Skemaoplysninger!$L20&gt;0,Skemaoplysninger!P20,"")</f>
        <v/>
      </c>
      <c r="E13" s="412" t="str">
        <f>IF(Skemaoplysninger!$L20&gt;0,Skemaoplysninger!Q20,"")</f>
        <v/>
      </c>
      <c r="F13" s="412" t="str">
        <f>IF(Skemaoplysninger!$L20&gt;0,Skemaoplysninger!R20,"")</f>
        <v/>
      </c>
      <c r="G13" s="412" t="str">
        <f>IF(Skemaoplysninger!$L20&gt;0,Skemaoplysninger!S20,"")</f>
        <v/>
      </c>
    </row>
    <row r="14" spans="1:7" ht="20" customHeight="1">
      <c r="A14" s="38" t="str">
        <f>IF(Skemaoplysninger!$L21&gt;0,Skemaoplysninger!$M21,"")</f>
        <v/>
      </c>
      <c r="B14" s="38" t="str">
        <f>IF(Skemaoplysninger!$L21&gt;0,Skemaoplysninger!$N21,"")</f>
        <v/>
      </c>
      <c r="C14" s="35" t="str">
        <f>IF(Skemaoplysninger!$L21&gt;0,Skemaoplysninger!O21,"")</f>
        <v/>
      </c>
      <c r="D14" s="35" t="str">
        <f>IF(Skemaoplysninger!$L21&gt;0,Skemaoplysninger!P21,"")</f>
        <v/>
      </c>
      <c r="E14" s="35" t="str">
        <f>IF(Skemaoplysninger!$L21&gt;0,Skemaoplysninger!Q21,"")</f>
        <v/>
      </c>
      <c r="F14" s="35" t="str">
        <f>IF(Skemaoplysninger!$L21&gt;0,Skemaoplysninger!R21,"")</f>
        <v/>
      </c>
      <c r="G14" s="35" t="str">
        <f>IF(Skemaoplysninger!$L21&gt;0,Skemaoplysninger!S21,"")</f>
        <v/>
      </c>
    </row>
    <row r="15" spans="1:7" ht="20" customHeight="1">
      <c r="A15" s="39" t="str">
        <f>IF(Skemaoplysninger!$L22&gt;0,Skemaoplysninger!$M22,"")</f>
        <v/>
      </c>
      <c r="B15" s="39" t="str">
        <f>IF(Skemaoplysninger!$L22&gt;0,Skemaoplysninger!$N22,"")</f>
        <v/>
      </c>
      <c r="C15" s="412" t="str">
        <f>IF(Skemaoplysninger!$L22&gt;0,Skemaoplysninger!O22,"")</f>
        <v/>
      </c>
      <c r="D15" s="412" t="str">
        <f>IF(Skemaoplysninger!$L22&gt;0,Skemaoplysninger!P22,"")</f>
        <v/>
      </c>
      <c r="E15" s="412" t="str">
        <f>IF(Skemaoplysninger!$L22&gt;0,Skemaoplysninger!Q22,"")</f>
        <v/>
      </c>
      <c r="F15" s="412" t="str">
        <f>IF(Skemaoplysninger!$L22&gt;0,Skemaoplysninger!R22,"")</f>
        <v/>
      </c>
      <c r="G15" s="412" t="str">
        <f>IF(Skemaoplysninger!$L22&gt;0,Skemaoplysninger!S22,"")</f>
        <v/>
      </c>
    </row>
    <row r="16" spans="1:7" ht="20" customHeight="1">
      <c r="A16" s="38" t="str">
        <f>IF(Skemaoplysninger!$L23&gt;0,Skemaoplysninger!$M23,"")</f>
        <v/>
      </c>
      <c r="B16" s="38" t="str">
        <f>IF(Skemaoplysninger!$L23&gt;0,Skemaoplysninger!$N23,"")</f>
        <v/>
      </c>
      <c r="C16" s="35" t="str">
        <f>IF(Skemaoplysninger!$L23&gt;0,Skemaoplysninger!O23,"")</f>
        <v/>
      </c>
      <c r="D16" s="35" t="str">
        <f>IF(Skemaoplysninger!$L23&gt;0,Skemaoplysninger!P23,"")</f>
        <v/>
      </c>
      <c r="E16" s="35" t="str">
        <f>IF(Skemaoplysninger!$L23&gt;0,Skemaoplysninger!Q23,"")</f>
        <v/>
      </c>
      <c r="F16" s="35" t="str">
        <f>IF(Skemaoplysninger!$L23&gt;0,Skemaoplysninger!R23,"")</f>
        <v/>
      </c>
      <c r="G16" s="35" t="str">
        <f>IF(Skemaoplysninger!$L23&gt;0,Skemaoplysninger!S23,"")</f>
        <v/>
      </c>
    </row>
    <row r="17" spans="1:7" ht="20" customHeight="1">
      <c r="A17" s="39" t="str">
        <f>IF(Skemaoplysninger!$L24&gt;0,Skemaoplysninger!$M24,"")</f>
        <v/>
      </c>
      <c r="B17" s="39" t="str">
        <f>IF(Skemaoplysninger!$L24&gt;0,Skemaoplysninger!$N24,"")</f>
        <v/>
      </c>
      <c r="C17" s="412" t="str">
        <f>IF(Skemaoplysninger!$L24&gt;0,Skemaoplysninger!O24,"")</f>
        <v/>
      </c>
      <c r="D17" s="412" t="str">
        <f>IF(Skemaoplysninger!$L24&gt;0,Skemaoplysninger!P24,"")</f>
        <v/>
      </c>
      <c r="E17" s="412" t="str">
        <f>IF(Skemaoplysninger!$L24&gt;0,Skemaoplysninger!Q24,"")</f>
        <v/>
      </c>
      <c r="F17" s="412" t="str">
        <f>IF(Skemaoplysninger!$L24&gt;0,Skemaoplysninger!R24,"")</f>
        <v/>
      </c>
      <c r="G17" s="412" t="str">
        <f>IF(Skemaoplysninger!$L24&gt;0,Skemaoplysninger!S24,"")</f>
        <v/>
      </c>
    </row>
    <row r="18" spans="1:7" ht="20" customHeight="1">
      <c r="A18" s="38" t="str">
        <f>IF(Skemaoplysninger!$L25&gt;0,Skemaoplysninger!$M25,"")</f>
        <v/>
      </c>
      <c r="B18" s="38" t="str">
        <f>IF(Skemaoplysninger!$L25&gt;0,Skemaoplysninger!$N25,"")</f>
        <v/>
      </c>
      <c r="C18" s="35" t="str">
        <f>IF(Skemaoplysninger!$L25&gt;0,Skemaoplysninger!O25,"")</f>
        <v/>
      </c>
      <c r="D18" s="35" t="str">
        <f>IF(Skemaoplysninger!$L25&gt;0,Skemaoplysninger!P25,"")</f>
        <v/>
      </c>
      <c r="E18" s="35" t="str">
        <f>IF(Skemaoplysninger!$L25&gt;0,Skemaoplysninger!Q25,"")</f>
        <v/>
      </c>
      <c r="F18" s="35" t="str">
        <f>IF(Skemaoplysninger!$L25&gt;0,Skemaoplysninger!R25,"")</f>
        <v/>
      </c>
      <c r="G18" s="35" t="str">
        <f>IF(Skemaoplysninger!$L25&gt;0,Skemaoplysninger!S25,"")</f>
        <v/>
      </c>
    </row>
    <row r="19" spans="1:7" ht="20" customHeight="1">
      <c r="A19" s="39" t="str">
        <f>IF(Skemaoplysninger!$L26&gt;0,Skemaoplysninger!$M26,"")</f>
        <v/>
      </c>
      <c r="B19" s="39" t="str">
        <f>IF(Skemaoplysninger!$L26&gt;0,Skemaoplysninger!$N26,"")</f>
        <v/>
      </c>
      <c r="C19" s="412" t="str">
        <f>IF(Skemaoplysninger!$L26&gt;0,Skemaoplysninger!O26,"")</f>
        <v/>
      </c>
      <c r="D19" s="412" t="str">
        <f>IF(Skemaoplysninger!$L26&gt;0,Skemaoplysninger!P26,"")</f>
        <v/>
      </c>
      <c r="E19" s="412" t="str">
        <f>IF(Skemaoplysninger!$L26&gt;0,Skemaoplysninger!Q26,"")</f>
        <v/>
      </c>
      <c r="F19" s="412" t="str">
        <f>IF(Skemaoplysninger!$L26&gt;0,Skemaoplysninger!R26,"")</f>
        <v/>
      </c>
      <c r="G19" s="412" t="str">
        <f>IF(Skemaoplysninger!$L26&gt;0,Skemaoplysninger!S26,"")</f>
        <v/>
      </c>
    </row>
    <row r="20" spans="1:7" ht="20" customHeight="1">
      <c r="A20" s="38" t="str">
        <f>IF(Skemaoplysninger!$L27&gt;0,Skemaoplysninger!$M27,"")</f>
        <v/>
      </c>
      <c r="B20" s="38" t="str">
        <f>IF(Skemaoplysninger!$L27&gt;0,Skemaoplysninger!$N27,"")</f>
        <v/>
      </c>
      <c r="C20" s="35" t="str">
        <f>IF(Skemaoplysninger!$L27&gt;0,Skemaoplysninger!O27,"")</f>
        <v/>
      </c>
      <c r="D20" s="35" t="str">
        <f>IF(Skemaoplysninger!$L27&gt;0,Skemaoplysninger!P27,"")</f>
        <v/>
      </c>
      <c r="E20" s="35" t="str">
        <f>IF(Skemaoplysninger!$L27&gt;0,Skemaoplysninger!Q27,"")</f>
        <v/>
      </c>
      <c r="F20" s="35" t="str">
        <f>IF(Skemaoplysninger!$L27&gt;0,Skemaoplysninger!R27,"")</f>
        <v/>
      </c>
      <c r="G20" s="35" t="str">
        <f>IF(Skemaoplysninger!$L27&gt;0,Skemaoplysninger!S27,"")</f>
        <v/>
      </c>
    </row>
    <row r="21" spans="1:7" ht="20" customHeight="1">
      <c r="A21" s="39" t="str">
        <f>IF(Skemaoplysninger!$L28&gt;0,Skemaoplysninger!$M28,"")</f>
        <v/>
      </c>
      <c r="B21" s="39" t="str">
        <f>IF(Skemaoplysninger!$L28&gt;0,Skemaoplysninger!$N28,"")</f>
        <v/>
      </c>
      <c r="C21" s="412" t="str">
        <f>IF(Skemaoplysninger!$L28&gt;0,Skemaoplysninger!O28,"")</f>
        <v/>
      </c>
      <c r="D21" s="412" t="str">
        <f>IF(Skemaoplysninger!$L28&gt;0,Skemaoplysninger!P28,"")</f>
        <v/>
      </c>
      <c r="E21" s="412" t="str">
        <f>IF(Skemaoplysninger!$L28&gt;0,Skemaoplysninger!Q28,"")</f>
        <v/>
      </c>
      <c r="F21" s="412" t="str">
        <f>IF(Skemaoplysninger!$L28&gt;0,Skemaoplysninger!R28,"")</f>
        <v/>
      </c>
      <c r="G21" s="412" t="str">
        <f>IF(Skemaoplysninger!$L28&gt;0,Skemaoplysninger!S28,"")</f>
        <v/>
      </c>
    </row>
    <row r="22" spans="1:7" ht="20" customHeight="1">
      <c r="A22" s="38" t="str">
        <f>IF(Skemaoplysninger!$L29&gt;0,Skemaoplysninger!$M29,"")</f>
        <v/>
      </c>
      <c r="B22" s="38" t="str">
        <f>IF(Skemaoplysninger!$L29&gt;0,Skemaoplysninger!$N29,"")</f>
        <v/>
      </c>
      <c r="C22" s="35" t="str">
        <f>IF(Skemaoplysninger!$L29&gt;0,Skemaoplysninger!O29,"")</f>
        <v/>
      </c>
      <c r="D22" s="35" t="str">
        <f>IF(Skemaoplysninger!$L29&gt;0,Skemaoplysninger!P29,"")</f>
        <v/>
      </c>
      <c r="E22" s="35" t="str">
        <f>IF(Skemaoplysninger!$L29&gt;0,Skemaoplysninger!Q29,"")</f>
        <v/>
      </c>
      <c r="F22" s="35" t="str">
        <f>IF(Skemaoplysninger!$L29&gt;0,Skemaoplysninger!R29,"")</f>
        <v/>
      </c>
      <c r="G22" s="35" t="str">
        <f>IF(Skemaoplysninger!$L29&gt;0,Skemaoplysninger!S29,"")</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CB7-E494-D14F-B25C-069A279ACF1F}">
  <sheetPr>
    <tabColor theme="4" tint="0.59999389629810485"/>
  </sheetPr>
  <dimension ref="A1:G22"/>
  <sheetViews>
    <sheetView showZeros="0" workbookViewId="0">
      <selection activeCell="C4" sqref="C4"/>
    </sheetView>
  </sheetViews>
  <sheetFormatPr baseColWidth="10" defaultRowHeight="16"/>
  <cols>
    <col min="3" max="7" width="15.83203125" customWidth="1"/>
  </cols>
  <sheetData>
    <row r="1" spans="1:7" ht="32" customHeight="1">
      <c r="A1" s="786" t="str">
        <f>Skemaoplysninger!U5</f>
        <v>Skema 3</v>
      </c>
      <c r="B1" s="786"/>
      <c r="C1" s="786"/>
      <c r="D1" s="786"/>
      <c r="E1" s="786"/>
      <c r="F1" s="786"/>
      <c r="G1" s="787"/>
    </row>
    <row r="2" spans="1:7" ht="32" customHeight="1">
      <c r="A2" s="1321" t="s">
        <v>222</v>
      </c>
      <c r="B2" s="1321"/>
      <c r="C2" s="1321"/>
      <c r="D2" s="1322">
        <f>Skemaoplysninger!Z7</f>
        <v>0</v>
      </c>
      <c r="E2" s="1322"/>
      <c r="F2" s="1322">
        <f>Skemaoplysninger!AB7</f>
        <v>0</v>
      </c>
      <c r="G2" s="1322"/>
    </row>
    <row r="3" spans="1:7" ht="32" customHeight="1">
      <c r="A3" s="287" t="s">
        <v>65</v>
      </c>
      <c r="B3" s="287" t="s">
        <v>66</v>
      </c>
      <c r="C3" s="288" t="s">
        <v>34</v>
      </c>
      <c r="D3" s="288" t="s">
        <v>35</v>
      </c>
      <c r="E3" s="288" t="s">
        <v>36</v>
      </c>
      <c r="F3" s="288" t="s">
        <v>37</v>
      </c>
      <c r="G3" s="289" t="s">
        <v>38</v>
      </c>
    </row>
    <row r="4" spans="1:7" ht="20" customHeight="1">
      <c r="A4" s="38" t="str">
        <f>IF(Skemaoplysninger!$V11&gt;0,Skemaoplysninger!$W11,"")</f>
        <v/>
      </c>
      <c r="B4" s="38" t="str">
        <f>IF(Skemaoplysninger!$V11&gt;0,Skemaoplysninger!$X11,"")</f>
        <v/>
      </c>
      <c r="C4" s="25" t="str">
        <f>IF(Skemaoplysninger!$V11&gt;0,Skemaoplysninger!Y11,"")</f>
        <v/>
      </c>
      <c r="D4" s="25" t="str">
        <f>IF(Skemaoplysninger!$V11&gt;0,Skemaoplysninger!Z11,"")</f>
        <v/>
      </c>
      <c r="E4" s="25" t="str">
        <f>IF(Skemaoplysninger!$V11&gt;0,Skemaoplysninger!AA11,"")</f>
        <v/>
      </c>
      <c r="F4" s="25" t="str">
        <f>IF(Skemaoplysninger!$V11&gt;0,Skemaoplysninger!AB11,"")</f>
        <v/>
      </c>
      <c r="G4" s="25" t="str">
        <f>IF(Skemaoplysninger!$V11&gt;0,Skemaoplysninger!AC11,"")</f>
        <v/>
      </c>
    </row>
    <row r="5" spans="1:7" ht="20" customHeight="1">
      <c r="A5" s="39" t="str">
        <f>IF(Skemaoplysninger!$V12&gt;0,Skemaoplysninger!$W12,"")</f>
        <v/>
      </c>
      <c r="B5" s="39" t="str">
        <f>IF(Skemaoplysninger!$V12&gt;0,Skemaoplysninger!$X12,"")</f>
        <v/>
      </c>
      <c r="C5" s="413" t="str">
        <f>IF(Skemaoplysninger!$V12&gt;0,Skemaoplysninger!Y12,"")</f>
        <v/>
      </c>
      <c r="D5" s="413" t="str">
        <f>IF(Skemaoplysninger!$V12&gt;0,Skemaoplysninger!Z12,"")</f>
        <v/>
      </c>
      <c r="E5" s="413" t="str">
        <f>IF(Skemaoplysninger!$V12&gt;0,Skemaoplysninger!AA12,"")</f>
        <v/>
      </c>
      <c r="F5" s="413" t="str">
        <f>IF(Skemaoplysninger!$V12&gt;0,Skemaoplysninger!AB12,"")</f>
        <v/>
      </c>
      <c r="G5" s="413" t="str">
        <f>IF(Skemaoplysninger!$V12&gt;0,Skemaoplysninger!AC12,"")</f>
        <v/>
      </c>
    </row>
    <row r="6" spans="1:7" ht="20" customHeight="1">
      <c r="A6" s="38" t="str">
        <f>IF(Skemaoplysninger!$V13&gt;0,Skemaoplysninger!$W13,"")</f>
        <v/>
      </c>
      <c r="B6" s="38" t="str">
        <f>IF(Skemaoplysninger!$V13&gt;0,Skemaoplysninger!$X13,"")</f>
        <v/>
      </c>
      <c r="C6" s="25" t="str">
        <f>IF(Skemaoplysninger!$V13&gt;0,Skemaoplysninger!Y13,"")</f>
        <v/>
      </c>
      <c r="D6" s="25" t="str">
        <f>IF(Skemaoplysninger!$V13&gt;0,Skemaoplysninger!Z13,"")</f>
        <v/>
      </c>
      <c r="E6" s="25" t="str">
        <f>IF(Skemaoplysninger!$V13&gt;0,Skemaoplysninger!AA13,"")</f>
        <v/>
      </c>
      <c r="F6" s="25" t="str">
        <f>IF(Skemaoplysninger!$V13&gt;0,Skemaoplysninger!AB13,"")</f>
        <v/>
      </c>
      <c r="G6" s="25" t="str">
        <f>IF(Skemaoplysninger!$V13&gt;0,Skemaoplysninger!AC13,"")</f>
        <v/>
      </c>
    </row>
    <row r="7" spans="1:7" ht="20" customHeight="1">
      <c r="A7" s="39" t="str">
        <f>IF(Skemaoplysninger!$V14&gt;0,Skemaoplysninger!$W14,"")</f>
        <v/>
      </c>
      <c r="B7" s="39" t="str">
        <f>IF(Skemaoplysninger!$V14&gt;0,Skemaoplysninger!$X14,"")</f>
        <v/>
      </c>
      <c r="C7" s="413" t="str">
        <f>IF(Skemaoplysninger!$V14&gt;0,Skemaoplysninger!Y14,"")</f>
        <v/>
      </c>
      <c r="D7" s="413" t="str">
        <f>IF(Skemaoplysninger!$V14&gt;0,Skemaoplysninger!Z14,"")</f>
        <v/>
      </c>
      <c r="E7" s="413" t="str">
        <f>IF(Skemaoplysninger!$V14&gt;0,Skemaoplysninger!AA14,"")</f>
        <v/>
      </c>
      <c r="F7" s="413" t="str">
        <f>IF(Skemaoplysninger!$V14&gt;0,Skemaoplysninger!AB14,"")</f>
        <v/>
      </c>
      <c r="G7" s="413" t="str">
        <f>IF(Skemaoplysninger!$V14&gt;0,Skemaoplysninger!AC14,"")</f>
        <v/>
      </c>
    </row>
    <row r="8" spans="1:7" ht="20" customHeight="1">
      <c r="A8" s="38" t="str">
        <f>IF(Skemaoplysninger!$V15&gt;0,Skemaoplysninger!$W15,"")</f>
        <v/>
      </c>
      <c r="B8" s="38" t="str">
        <f>IF(Skemaoplysninger!$V15&gt;0,Skemaoplysninger!$X15,"")</f>
        <v/>
      </c>
      <c r="C8" s="25" t="str">
        <f>IF(Skemaoplysninger!$V15&gt;0,Skemaoplysninger!Y15,"")</f>
        <v/>
      </c>
      <c r="D8" s="25" t="str">
        <f>IF(Skemaoplysninger!$V15&gt;0,Skemaoplysninger!Z15,"")</f>
        <v/>
      </c>
      <c r="E8" s="25" t="str">
        <f>IF(Skemaoplysninger!$V15&gt;0,Skemaoplysninger!AA15,"")</f>
        <v/>
      </c>
      <c r="F8" s="25" t="str">
        <f>IF(Skemaoplysninger!$V15&gt;0,Skemaoplysninger!AB15,"")</f>
        <v/>
      </c>
      <c r="G8" s="25" t="str">
        <f>IF(Skemaoplysninger!$V15&gt;0,Skemaoplysninger!AC15,"")</f>
        <v/>
      </c>
    </row>
    <row r="9" spans="1:7" ht="20" customHeight="1">
      <c r="A9" s="39" t="str">
        <f>IF(Skemaoplysninger!$V16&gt;0,Skemaoplysninger!$W16,"")</f>
        <v/>
      </c>
      <c r="B9" s="39" t="str">
        <f>IF(Skemaoplysninger!$V16&gt;0,Skemaoplysninger!$X16,"")</f>
        <v/>
      </c>
      <c r="C9" s="413" t="str">
        <f>IF(Skemaoplysninger!$V16&gt;0,Skemaoplysninger!Y16,"")</f>
        <v/>
      </c>
      <c r="D9" s="413" t="str">
        <f>IF(Skemaoplysninger!$V16&gt;0,Skemaoplysninger!Z16,"")</f>
        <v/>
      </c>
      <c r="E9" s="413" t="str">
        <f>IF(Skemaoplysninger!$V16&gt;0,Skemaoplysninger!AA16,"")</f>
        <v/>
      </c>
      <c r="F9" s="413" t="str">
        <f>IF(Skemaoplysninger!$V16&gt;0,Skemaoplysninger!AB16,"")</f>
        <v/>
      </c>
      <c r="G9" s="413" t="str">
        <f>IF(Skemaoplysninger!$V16&gt;0,Skemaoplysninger!AC16,"")</f>
        <v/>
      </c>
    </row>
    <row r="10" spans="1:7" ht="20" customHeight="1">
      <c r="A10" s="38" t="str">
        <f>IF(Skemaoplysninger!$V17&gt;0,Skemaoplysninger!$W17,"")</f>
        <v/>
      </c>
      <c r="B10" s="38" t="str">
        <f>IF(Skemaoplysninger!$V17&gt;0,Skemaoplysninger!$X17,"")</f>
        <v/>
      </c>
      <c r="C10" s="25" t="str">
        <f>IF(Skemaoplysninger!$V17&gt;0,Skemaoplysninger!Y17,"")</f>
        <v/>
      </c>
      <c r="D10" s="25" t="str">
        <f>IF(Skemaoplysninger!$V17&gt;0,Skemaoplysninger!Z17,"")</f>
        <v/>
      </c>
      <c r="E10" s="25" t="str">
        <f>IF(Skemaoplysninger!$V17&gt;0,Skemaoplysninger!AA17,"")</f>
        <v/>
      </c>
      <c r="F10" s="25" t="str">
        <f>IF(Skemaoplysninger!$V17&gt;0,Skemaoplysninger!AB17,"")</f>
        <v/>
      </c>
      <c r="G10" s="25" t="str">
        <f>IF(Skemaoplysninger!$V17&gt;0,Skemaoplysninger!AC17,"")</f>
        <v/>
      </c>
    </row>
    <row r="11" spans="1:7" ht="20" customHeight="1">
      <c r="A11" s="39" t="str">
        <f>IF(Skemaoplysninger!$V18&gt;0,Skemaoplysninger!$W18,"")</f>
        <v/>
      </c>
      <c r="B11" s="39" t="str">
        <f>IF(Skemaoplysninger!$V18&gt;0,Skemaoplysninger!$X18,"")</f>
        <v/>
      </c>
      <c r="C11" s="413" t="str">
        <f>IF(Skemaoplysninger!$V18&gt;0,Skemaoplysninger!Y18,"")</f>
        <v/>
      </c>
      <c r="D11" s="413" t="str">
        <f>IF(Skemaoplysninger!$V18&gt;0,Skemaoplysninger!Z18,"")</f>
        <v/>
      </c>
      <c r="E11" s="413" t="str">
        <f>IF(Skemaoplysninger!$V18&gt;0,Skemaoplysninger!AA18,"")</f>
        <v/>
      </c>
      <c r="F11" s="413" t="str">
        <f>IF(Skemaoplysninger!$V18&gt;0,Skemaoplysninger!AB18,"")</f>
        <v/>
      </c>
      <c r="G11" s="413" t="str">
        <f>IF(Skemaoplysninger!$V18&gt;0,Skemaoplysninger!AC18,"")</f>
        <v/>
      </c>
    </row>
    <row r="12" spans="1:7" ht="20" customHeight="1">
      <c r="A12" s="38" t="str">
        <f>IF(Skemaoplysninger!$V19&gt;0,Skemaoplysninger!$W19,"")</f>
        <v/>
      </c>
      <c r="B12" s="38" t="str">
        <f>IF(Skemaoplysninger!$V19&gt;0,Skemaoplysninger!$X19,"")</f>
        <v/>
      </c>
      <c r="C12" s="25" t="str">
        <f>IF(Skemaoplysninger!$V19&gt;0,Skemaoplysninger!Y19,"")</f>
        <v/>
      </c>
      <c r="D12" s="25" t="str">
        <f>IF(Skemaoplysninger!$V19&gt;0,Skemaoplysninger!Z19,"")</f>
        <v/>
      </c>
      <c r="E12" s="25" t="str">
        <f>IF(Skemaoplysninger!$V19&gt;0,Skemaoplysninger!AA19,"")</f>
        <v/>
      </c>
      <c r="F12" s="25" t="str">
        <f>IF(Skemaoplysninger!$V19&gt;0,Skemaoplysninger!AB19,"")</f>
        <v/>
      </c>
      <c r="G12" s="25" t="str">
        <f>IF(Skemaoplysninger!$V19&gt;0,Skemaoplysninger!AC19,"")</f>
        <v/>
      </c>
    </row>
    <row r="13" spans="1:7" ht="20" customHeight="1">
      <c r="A13" s="39" t="str">
        <f>IF(Skemaoplysninger!$V20&gt;0,Skemaoplysninger!$W20,"")</f>
        <v/>
      </c>
      <c r="B13" s="39" t="str">
        <f>IF(Skemaoplysninger!$V20&gt;0,Skemaoplysninger!$X20,"")</f>
        <v/>
      </c>
      <c r="C13" s="413" t="str">
        <f>IF(Skemaoplysninger!$V20&gt;0,Skemaoplysninger!Y20,"")</f>
        <v/>
      </c>
      <c r="D13" s="413" t="str">
        <f>IF(Skemaoplysninger!$V20&gt;0,Skemaoplysninger!Z20,"")</f>
        <v/>
      </c>
      <c r="E13" s="413" t="str">
        <f>IF(Skemaoplysninger!$V20&gt;0,Skemaoplysninger!AA20,"")</f>
        <v/>
      </c>
      <c r="F13" s="413" t="str">
        <f>IF(Skemaoplysninger!$V20&gt;0,Skemaoplysninger!AB20,"")</f>
        <v/>
      </c>
      <c r="G13" s="413" t="str">
        <f>IF(Skemaoplysninger!$V20&gt;0,Skemaoplysninger!AC20,"")</f>
        <v/>
      </c>
    </row>
    <row r="14" spans="1:7" ht="20" customHeight="1">
      <c r="A14" s="38" t="str">
        <f>IF(Skemaoplysninger!$V21&gt;0,Skemaoplysninger!$W21,"")</f>
        <v/>
      </c>
      <c r="B14" s="38" t="str">
        <f>IF(Skemaoplysninger!$V21&gt;0,Skemaoplysninger!$X21,"")</f>
        <v/>
      </c>
      <c r="C14" s="25" t="str">
        <f>IF(Skemaoplysninger!$V21&gt;0,Skemaoplysninger!Y21,"")</f>
        <v/>
      </c>
      <c r="D14" s="25" t="str">
        <f>IF(Skemaoplysninger!$V21&gt;0,Skemaoplysninger!Z21,"")</f>
        <v/>
      </c>
      <c r="E14" s="25" t="str">
        <f>IF(Skemaoplysninger!$V21&gt;0,Skemaoplysninger!AA21,"")</f>
        <v/>
      </c>
      <c r="F14" s="25" t="str">
        <f>IF(Skemaoplysninger!$V21&gt;0,Skemaoplysninger!AB21,"")</f>
        <v/>
      </c>
      <c r="G14" s="25" t="str">
        <f>IF(Skemaoplysninger!$V21&gt;0,Skemaoplysninger!AC21,"")</f>
        <v/>
      </c>
    </row>
    <row r="15" spans="1:7" ht="20" customHeight="1">
      <c r="A15" s="39" t="str">
        <f>IF(Skemaoplysninger!$V22&gt;0,Skemaoplysninger!$W22,"")</f>
        <v/>
      </c>
      <c r="B15" s="39" t="str">
        <f>IF(Skemaoplysninger!$V22&gt;0,Skemaoplysninger!$X22,"")</f>
        <v/>
      </c>
      <c r="C15" s="413" t="str">
        <f>IF(Skemaoplysninger!$V22&gt;0,Skemaoplysninger!Y22,"")</f>
        <v/>
      </c>
      <c r="D15" s="413" t="str">
        <f>IF(Skemaoplysninger!$V22&gt;0,Skemaoplysninger!Z22,"")</f>
        <v/>
      </c>
      <c r="E15" s="413" t="str">
        <f>IF(Skemaoplysninger!$V22&gt;0,Skemaoplysninger!AA22,"")</f>
        <v/>
      </c>
      <c r="F15" s="413" t="str">
        <f>IF(Skemaoplysninger!$V22&gt;0,Skemaoplysninger!AB22,"")</f>
        <v/>
      </c>
      <c r="G15" s="413" t="str">
        <f>IF(Skemaoplysninger!$V22&gt;0,Skemaoplysninger!AC22,"")</f>
        <v/>
      </c>
    </row>
    <row r="16" spans="1:7" ht="20" customHeight="1">
      <c r="A16" s="38" t="str">
        <f>IF(Skemaoplysninger!$V23&gt;0,Skemaoplysninger!$W23,"")</f>
        <v/>
      </c>
      <c r="B16" s="38" t="str">
        <f>IF(Skemaoplysninger!$V23&gt;0,Skemaoplysninger!$X23,"")</f>
        <v/>
      </c>
      <c r="C16" s="25" t="str">
        <f>IF(Skemaoplysninger!$V23&gt;0,Skemaoplysninger!Y23,"")</f>
        <v/>
      </c>
      <c r="D16" s="25" t="str">
        <f>IF(Skemaoplysninger!$V23&gt;0,Skemaoplysninger!Z23,"")</f>
        <v/>
      </c>
      <c r="E16" s="25" t="str">
        <f>IF(Skemaoplysninger!$V23&gt;0,Skemaoplysninger!AA23,"")</f>
        <v/>
      </c>
      <c r="F16" s="25" t="str">
        <f>IF(Skemaoplysninger!$V23&gt;0,Skemaoplysninger!AB23,"")</f>
        <v/>
      </c>
      <c r="G16" s="25" t="str">
        <f>IF(Skemaoplysninger!$V23&gt;0,Skemaoplysninger!AC23,"")</f>
        <v/>
      </c>
    </row>
    <row r="17" spans="1:7" ht="20" customHeight="1">
      <c r="A17" s="39" t="str">
        <f>IF(Skemaoplysninger!$V24&gt;0,Skemaoplysninger!$W24,"")</f>
        <v/>
      </c>
      <c r="B17" s="39" t="str">
        <f>IF(Skemaoplysninger!$V24&gt;0,Skemaoplysninger!$X24,"")</f>
        <v/>
      </c>
      <c r="C17" s="413" t="str">
        <f>IF(Skemaoplysninger!$V24&gt;0,Skemaoplysninger!Y24,"")</f>
        <v/>
      </c>
      <c r="D17" s="413" t="str">
        <f>IF(Skemaoplysninger!$V24&gt;0,Skemaoplysninger!Z24,"")</f>
        <v/>
      </c>
      <c r="E17" s="413" t="str">
        <f>IF(Skemaoplysninger!$V24&gt;0,Skemaoplysninger!AA24,"")</f>
        <v/>
      </c>
      <c r="F17" s="413" t="str">
        <f>IF(Skemaoplysninger!$V24&gt;0,Skemaoplysninger!AB24,"")</f>
        <v/>
      </c>
      <c r="G17" s="413" t="str">
        <f>IF(Skemaoplysninger!$V24&gt;0,Skemaoplysninger!AC24,"")</f>
        <v/>
      </c>
    </row>
    <row r="18" spans="1:7" ht="20" customHeight="1">
      <c r="A18" s="38" t="str">
        <f>IF(Skemaoplysninger!$V25&gt;0,Skemaoplysninger!$W25,"")</f>
        <v/>
      </c>
      <c r="B18" s="38" t="str">
        <f>IF(Skemaoplysninger!$V25&gt;0,Skemaoplysninger!$X25,"")</f>
        <v/>
      </c>
      <c r="C18" s="25" t="str">
        <f>IF(Skemaoplysninger!$V25&gt;0,Skemaoplysninger!Y25,"")</f>
        <v/>
      </c>
      <c r="D18" s="25" t="str">
        <f>IF(Skemaoplysninger!$V25&gt;0,Skemaoplysninger!Z25,"")</f>
        <v/>
      </c>
      <c r="E18" s="25" t="str">
        <f>IF(Skemaoplysninger!$V25&gt;0,Skemaoplysninger!AA25,"")</f>
        <v/>
      </c>
      <c r="F18" s="25" t="str">
        <f>IF(Skemaoplysninger!$V25&gt;0,Skemaoplysninger!AB25,"")</f>
        <v/>
      </c>
      <c r="G18" s="25" t="str">
        <f>IF(Skemaoplysninger!$V25&gt;0,Skemaoplysninger!AC25,"")</f>
        <v/>
      </c>
    </row>
    <row r="19" spans="1:7" ht="20" customHeight="1">
      <c r="A19" s="39" t="str">
        <f>IF(Skemaoplysninger!$V26&gt;0,Skemaoplysninger!$W26,"")</f>
        <v/>
      </c>
      <c r="B19" s="39" t="str">
        <f>IF(Skemaoplysninger!$V26&gt;0,Skemaoplysninger!$X26,"")</f>
        <v/>
      </c>
      <c r="C19" s="413" t="str">
        <f>IF(Skemaoplysninger!$V26&gt;0,Skemaoplysninger!Y26,"")</f>
        <v/>
      </c>
      <c r="D19" s="413" t="str">
        <f>IF(Skemaoplysninger!$V26&gt;0,Skemaoplysninger!Z26,"")</f>
        <v/>
      </c>
      <c r="E19" s="413" t="str">
        <f>IF(Skemaoplysninger!$V26&gt;0,Skemaoplysninger!AA26,"")</f>
        <v/>
      </c>
      <c r="F19" s="413" t="str">
        <f>IF(Skemaoplysninger!$V26&gt;0,Skemaoplysninger!AB26,"")</f>
        <v/>
      </c>
      <c r="G19" s="413" t="str">
        <f>IF(Skemaoplysninger!$V26&gt;0,Skemaoplysninger!AC26,"")</f>
        <v/>
      </c>
    </row>
    <row r="20" spans="1:7" ht="20" customHeight="1">
      <c r="A20" s="38" t="str">
        <f>IF(Skemaoplysninger!$V27&gt;0,Skemaoplysninger!$W27,"")</f>
        <v/>
      </c>
      <c r="B20" s="38" t="str">
        <f>IF(Skemaoplysninger!$V27&gt;0,Skemaoplysninger!$X27,"")</f>
        <v/>
      </c>
      <c r="C20" s="25" t="str">
        <f>IF(Skemaoplysninger!$V27&gt;0,Skemaoplysninger!Y27,"")</f>
        <v/>
      </c>
      <c r="D20" s="25" t="str">
        <f>IF(Skemaoplysninger!$V27&gt;0,Skemaoplysninger!Z27,"")</f>
        <v/>
      </c>
      <c r="E20" s="25" t="str">
        <f>IF(Skemaoplysninger!$V27&gt;0,Skemaoplysninger!AA27,"")</f>
        <v/>
      </c>
      <c r="F20" s="25" t="str">
        <f>IF(Skemaoplysninger!$V27&gt;0,Skemaoplysninger!AB27,"")</f>
        <v/>
      </c>
      <c r="G20" s="25" t="str">
        <f>IF(Skemaoplysninger!$V27&gt;0,Skemaoplysninger!AC27,"")</f>
        <v/>
      </c>
    </row>
    <row r="21" spans="1:7" ht="20" customHeight="1">
      <c r="A21" s="39" t="str">
        <f>IF(Skemaoplysninger!$V28&gt;0,Skemaoplysninger!$W28,"")</f>
        <v/>
      </c>
      <c r="B21" s="39" t="str">
        <f>IF(Skemaoplysninger!$V28&gt;0,Skemaoplysninger!$X28,"")</f>
        <v/>
      </c>
      <c r="C21" s="413" t="str">
        <f>IF(Skemaoplysninger!$V28&gt;0,Skemaoplysninger!Y28,"")</f>
        <v/>
      </c>
      <c r="D21" s="413" t="str">
        <f>IF(Skemaoplysninger!$V28&gt;0,Skemaoplysninger!Z28,"")</f>
        <v/>
      </c>
      <c r="E21" s="413" t="str">
        <f>IF(Skemaoplysninger!$V28&gt;0,Skemaoplysninger!AA28,"")</f>
        <v/>
      </c>
      <c r="F21" s="413" t="str">
        <f>IF(Skemaoplysninger!$V28&gt;0,Skemaoplysninger!AB28,"")</f>
        <v/>
      </c>
      <c r="G21" s="413" t="str">
        <f>IF(Skemaoplysninger!$V28&gt;0,Skemaoplysninger!AC28,"")</f>
        <v/>
      </c>
    </row>
    <row r="22" spans="1:7" ht="20" customHeight="1">
      <c r="A22" s="38" t="str">
        <f>IF(Skemaoplysninger!$V29&gt;0,Skemaoplysninger!$W29,"")</f>
        <v/>
      </c>
      <c r="B22" s="38" t="str">
        <f>IF(Skemaoplysninger!$V29&gt;0,Skemaoplysninger!$X29,"")</f>
        <v/>
      </c>
      <c r="C22" s="25" t="str">
        <f>IF(Skemaoplysninger!$V29&gt;0,Skemaoplysninger!Y29,"")</f>
        <v/>
      </c>
      <c r="D22" s="25" t="str">
        <f>IF(Skemaoplysninger!$V29&gt;0,Skemaoplysninger!Z29,"")</f>
        <v/>
      </c>
      <c r="E22" s="25" t="str">
        <f>IF(Skemaoplysninger!$V29&gt;0,Skemaoplysninger!AA29,"")</f>
        <v/>
      </c>
      <c r="F22" s="25" t="str">
        <f>IF(Skemaoplysninger!$V29&gt;0,Skemaoplysninger!AB29,"")</f>
        <v/>
      </c>
      <c r="G22" s="25" t="str">
        <f>IF(Skemaoplysninger!$V29&gt;0,Skemaoplysninger!AC29,"")</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E2CC-64D5-BA45-B2A5-7C301F6BD835}">
  <sheetPr>
    <tabColor theme="4" tint="0.59999389629810485"/>
  </sheetPr>
  <dimension ref="A1:G22"/>
  <sheetViews>
    <sheetView showZeros="0" workbookViewId="0">
      <selection activeCell="E4" sqref="E4"/>
    </sheetView>
  </sheetViews>
  <sheetFormatPr baseColWidth="10" defaultRowHeight="16"/>
  <cols>
    <col min="3" max="7" width="15.83203125" customWidth="1"/>
  </cols>
  <sheetData>
    <row r="1" spans="1:7" ht="32" customHeight="1">
      <c r="A1" s="786" t="str">
        <f>Skemaoplysninger!AE5</f>
        <v>Skema 4</v>
      </c>
      <c r="B1" s="786"/>
      <c r="C1" s="786"/>
      <c r="D1" s="786"/>
      <c r="E1" s="786"/>
      <c r="F1" s="786"/>
      <c r="G1" s="787"/>
    </row>
    <row r="2" spans="1:7" ht="32" customHeight="1">
      <c r="A2" s="1321" t="s">
        <v>222</v>
      </c>
      <c r="B2" s="1321"/>
      <c r="C2" s="1321"/>
      <c r="D2" s="1322">
        <f>Skemaoplysninger!AJ7</f>
        <v>0</v>
      </c>
      <c r="E2" s="1322"/>
      <c r="F2" s="1322">
        <f>Skemaoplysninger!AL7</f>
        <v>0</v>
      </c>
      <c r="G2" s="1322"/>
    </row>
    <row r="3" spans="1:7" ht="32" customHeight="1">
      <c r="A3" s="287" t="s">
        <v>65</v>
      </c>
      <c r="B3" s="287" t="s">
        <v>66</v>
      </c>
      <c r="C3" s="288" t="s">
        <v>34</v>
      </c>
      <c r="D3" s="288" t="s">
        <v>35</v>
      </c>
      <c r="E3" s="288" t="s">
        <v>36</v>
      </c>
      <c r="F3" s="288" t="s">
        <v>37</v>
      </c>
      <c r="G3" s="289" t="s">
        <v>38</v>
      </c>
    </row>
    <row r="4" spans="1:7" ht="20" customHeight="1">
      <c r="A4" s="38" t="str">
        <f>IF(Skemaoplysninger!$AF11&gt;0,Skemaoplysninger!$AG11,"")</f>
        <v/>
      </c>
      <c r="B4" s="38" t="str">
        <f>IF(Skemaoplysninger!AF11&gt;0,Skemaoplysninger!AH11,"")</f>
        <v/>
      </c>
      <c r="C4" s="25" t="str">
        <f>IF(Skemaoplysninger!$AF$11&gt;0,Skemaoplysninger!AI11,"")</f>
        <v/>
      </c>
      <c r="D4" s="25" t="str">
        <f>IF(Skemaoplysninger!$AF$11&gt;0,Skemaoplysninger!AJ11,"")</f>
        <v/>
      </c>
      <c r="E4" s="25" t="str">
        <f>IF(Skemaoplysninger!$AF$11&gt;0,Skemaoplysninger!AK11,"")</f>
        <v/>
      </c>
      <c r="F4" s="25" t="str">
        <f>IF(Skemaoplysninger!$AF$11&gt;0,Skemaoplysninger!AL11,"")</f>
        <v/>
      </c>
      <c r="G4" s="25" t="str">
        <f>IF(Skemaoplysninger!$AF$11&gt;0,Skemaoplysninger!AM11,"")</f>
        <v/>
      </c>
    </row>
    <row r="5" spans="1:7" ht="20" customHeight="1">
      <c r="A5" s="39" t="str">
        <f>IF(Skemaoplysninger!$AF12&gt;0,Skemaoplysninger!$AG12,"")</f>
        <v/>
      </c>
      <c r="B5" s="39" t="str">
        <f>IF(Skemaoplysninger!AF12&gt;0,Skemaoplysninger!AH12,"")</f>
        <v/>
      </c>
      <c r="C5" s="413" t="str">
        <f>IF(Skemaoplysninger!$AF12&gt;0,Skemaoplysninger!AI12,"")</f>
        <v/>
      </c>
      <c r="D5" s="413" t="str">
        <f>IF(Skemaoplysninger!$AF12&gt;0,Skemaoplysninger!AJ12,"")</f>
        <v/>
      </c>
      <c r="E5" s="413" t="str">
        <f>IF(Skemaoplysninger!$AF12&gt;0,Skemaoplysninger!AK12,"")</f>
        <v/>
      </c>
      <c r="F5" s="413" t="str">
        <f>IF(Skemaoplysninger!$AF12&gt;0,Skemaoplysninger!AL12,"")</f>
        <v/>
      </c>
      <c r="G5" s="413" t="str">
        <f>IF(Skemaoplysninger!$AF12&gt;0,Skemaoplysninger!AM12,"")</f>
        <v/>
      </c>
    </row>
    <row r="6" spans="1:7" ht="20" customHeight="1">
      <c r="A6" s="38" t="str">
        <f>IF(Skemaoplysninger!$AF13&gt;0,Skemaoplysninger!$AG13,"")</f>
        <v/>
      </c>
      <c r="B6" s="38" t="str">
        <f>IF(Skemaoplysninger!AF13&gt;0,Skemaoplysninger!AH13,"")</f>
        <v/>
      </c>
      <c r="C6" s="25" t="str">
        <f>IF(Skemaoplysninger!$AF13&gt;0,Skemaoplysninger!AI13,"")</f>
        <v/>
      </c>
      <c r="D6" s="25" t="str">
        <f>IF(Skemaoplysninger!$AF13&gt;0,Skemaoplysninger!AJ13,"")</f>
        <v/>
      </c>
      <c r="E6" s="25" t="str">
        <f>IF(Skemaoplysninger!$AF13&gt;0,Skemaoplysninger!AK13,"")</f>
        <v/>
      </c>
      <c r="F6" s="25" t="str">
        <f>IF(Skemaoplysninger!$AF13&gt;0,Skemaoplysninger!AL13,"")</f>
        <v/>
      </c>
      <c r="G6" s="25" t="str">
        <f>IF(Skemaoplysninger!$AF13&gt;0,Skemaoplysninger!AM13,"")</f>
        <v/>
      </c>
    </row>
    <row r="7" spans="1:7" ht="20" customHeight="1">
      <c r="A7" s="39" t="str">
        <f>IF(Skemaoplysninger!$AF14&gt;0,Skemaoplysninger!$AG14,"")</f>
        <v/>
      </c>
      <c r="B7" s="39" t="str">
        <f>IF(Skemaoplysninger!AF14&gt;0,Skemaoplysninger!AH14,"")</f>
        <v/>
      </c>
      <c r="C7" s="413" t="str">
        <f>IF(Skemaoplysninger!$AF14&gt;0,Skemaoplysninger!AI14,"")</f>
        <v/>
      </c>
      <c r="D7" s="413" t="str">
        <f>IF(Skemaoplysninger!$AF14&gt;0,Skemaoplysninger!AJ14,"")</f>
        <v/>
      </c>
      <c r="E7" s="413" t="str">
        <f>IF(Skemaoplysninger!$AF14&gt;0,Skemaoplysninger!AK14,"")</f>
        <v/>
      </c>
      <c r="F7" s="413" t="str">
        <f>IF(Skemaoplysninger!$AF14&gt;0,Skemaoplysninger!AL14,"")</f>
        <v/>
      </c>
      <c r="G7" s="413" t="str">
        <f>IF(Skemaoplysninger!$AF14&gt;0,Skemaoplysninger!AM14,"")</f>
        <v/>
      </c>
    </row>
    <row r="8" spans="1:7" ht="20" customHeight="1">
      <c r="A8" s="38" t="str">
        <f>IF(Skemaoplysninger!$AF15&gt;0,Skemaoplysninger!$AG15,"")</f>
        <v/>
      </c>
      <c r="B8" s="38" t="str">
        <f>IF(Skemaoplysninger!AF15&gt;0,Skemaoplysninger!AH15,"")</f>
        <v/>
      </c>
      <c r="C8" s="25" t="str">
        <f>IF(Skemaoplysninger!$AF15&gt;0,Skemaoplysninger!AI15,"")</f>
        <v/>
      </c>
      <c r="D8" s="25" t="str">
        <f>IF(Skemaoplysninger!$AF15&gt;0,Skemaoplysninger!AJ15,"")</f>
        <v/>
      </c>
      <c r="E8" s="25" t="str">
        <f>IF(Skemaoplysninger!$AF15&gt;0,Skemaoplysninger!AK15,"")</f>
        <v/>
      </c>
      <c r="F8" s="25" t="str">
        <f>IF(Skemaoplysninger!$AF15&gt;0,Skemaoplysninger!AL15,"")</f>
        <v/>
      </c>
      <c r="G8" s="25" t="str">
        <f>IF(Skemaoplysninger!$AF15&gt;0,Skemaoplysninger!AM15,"")</f>
        <v/>
      </c>
    </row>
    <row r="9" spans="1:7" ht="20" customHeight="1">
      <c r="A9" s="39" t="str">
        <f>IF(Skemaoplysninger!$AF16&gt;0,Skemaoplysninger!$AG16,"")</f>
        <v/>
      </c>
      <c r="B9" s="39" t="str">
        <f>IF(Skemaoplysninger!AF16&gt;0,Skemaoplysninger!AH16,"")</f>
        <v/>
      </c>
      <c r="C9" s="413" t="str">
        <f>IF(Skemaoplysninger!$AF16&gt;0,Skemaoplysninger!AI16,"")</f>
        <v/>
      </c>
      <c r="D9" s="413" t="str">
        <f>IF(Skemaoplysninger!$AF16&gt;0,Skemaoplysninger!AJ16,"")</f>
        <v/>
      </c>
      <c r="E9" s="413" t="str">
        <f>IF(Skemaoplysninger!$AF16&gt;0,Skemaoplysninger!AK16,"")</f>
        <v/>
      </c>
      <c r="F9" s="413" t="str">
        <f>IF(Skemaoplysninger!$AF16&gt;0,Skemaoplysninger!AL16,"")</f>
        <v/>
      </c>
      <c r="G9" s="413" t="str">
        <f>IF(Skemaoplysninger!$AF16&gt;0,Skemaoplysninger!AM16,"")</f>
        <v/>
      </c>
    </row>
    <row r="10" spans="1:7" ht="20" customHeight="1">
      <c r="A10" s="38" t="str">
        <f>IF(Skemaoplysninger!$AF17&gt;0,Skemaoplysninger!$AG17,"")</f>
        <v/>
      </c>
      <c r="B10" s="38" t="str">
        <f>IF(Skemaoplysninger!AF17&gt;0,Skemaoplysninger!AH17,"")</f>
        <v/>
      </c>
      <c r="C10" s="25" t="str">
        <f>IF(Skemaoplysninger!$AF17&gt;0,Skemaoplysninger!AI17,"")</f>
        <v/>
      </c>
      <c r="D10" s="25" t="str">
        <f>IF(Skemaoplysninger!$AF17&gt;0,Skemaoplysninger!AJ17,"")</f>
        <v/>
      </c>
      <c r="E10" s="25" t="str">
        <f>IF(Skemaoplysninger!$AF17&gt;0,Skemaoplysninger!AK17,"")</f>
        <v/>
      </c>
      <c r="F10" s="25" t="str">
        <f>IF(Skemaoplysninger!$AF17&gt;0,Skemaoplysninger!AL17,"")</f>
        <v/>
      </c>
      <c r="G10" s="25" t="str">
        <f>IF(Skemaoplysninger!$AF17&gt;0,Skemaoplysninger!AM17,"")</f>
        <v/>
      </c>
    </row>
    <row r="11" spans="1:7" ht="20" customHeight="1">
      <c r="A11" s="39" t="str">
        <f>IF(Skemaoplysninger!$AF18&gt;0,Skemaoplysninger!$AG18,"")</f>
        <v/>
      </c>
      <c r="B11" s="39" t="str">
        <f>IF(Skemaoplysninger!AF18&gt;0,Skemaoplysninger!AH18,"")</f>
        <v/>
      </c>
      <c r="C11" s="413" t="str">
        <f>IF(Skemaoplysninger!$AF18&gt;0,Skemaoplysninger!AI18,"")</f>
        <v/>
      </c>
      <c r="D11" s="413" t="str">
        <f>IF(Skemaoplysninger!$AF18&gt;0,Skemaoplysninger!AJ18,"")</f>
        <v/>
      </c>
      <c r="E11" s="413" t="str">
        <f>IF(Skemaoplysninger!$AF18&gt;0,Skemaoplysninger!AK18,"")</f>
        <v/>
      </c>
      <c r="F11" s="413" t="str">
        <f>IF(Skemaoplysninger!$AF18&gt;0,Skemaoplysninger!AL18,"")</f>
        <v/>
      </c>
      <c r="G11" s="413" t="str">
        <f>IF(Skemaoplysninger!$AF18&gt;0,Skemaoplysninger!AM18,"")</f>
        <v/>
      </c>
    </row>
    <row r="12" spans="1:7" ht="20" customHeight="1">
      <c r="A12" s="38" t="str">
        <f>IF(Skemaoplysninger!$AF19&gt;0,Skemaoplysninger!$AG19,"")</f>
        <v/>
      </c>
      <c r="B12" s="38" t="str">
        <f>IF(Skemaoplysninger!AF19&gt;0,Skemaoplysninger!AH19,"")</f>
        <v/>
      </c>
      <c r="C12" s="25" t="str">
        <f>IF(Skemaoplysninger!$AF19&gt;0,Skemaoplysninger!AI19,"")</f>
        <v/>
      </c>
      <c r="D12" s="25" t="str">
        <f>IF(Skemaoplysninger!$AF19&gt;0,Skemaoplysninger!AJ19,"")</f>
        <v/>
      </c>
      <c r="E12" s="25" t="str">
        <f>IF(Skemaoplysninger!$AF19&gt;0,Skemaoplysninger!AK19,"")</f>
        <v/>
      </c>
      <c r="F12" s="25" t="str">
        <f>IF(Skemaoplysninger!$AF19&gt;0,Skemaoplysninger!AL19,"")</f>
        <v/>
      </c>
      <c r="G12" s="25" t="str">
        <f>IF(Skemaoplysninger!$AF19&gt;0,Skemaoplysninger!AM19,"")</f>
        <v/>
      </c>
    </row>
    <row r="13" spans="1:7" ht="20" customHeight="1">
      <c r="A13" s="39" t="str">
        <f>IF(Skemaoplysninger!$AF20&gt;0,Skemaoplysninger!$AG20,"")</f>
        <v/>
      </c>
      <c r="B13" s="39" t="str">
        <f>IF(Skemaoplysninger!AF20&gt;0,Skemaoplysninger!AH20,"")</f>
        <v/>
      </c>
      <c r="C13" s="413" t="str">
        <f>IF(Skemaoplysninger!$AF20&gt;0,Skemaoplysninger!AI20,"")</f>
        <v/>
      </c>
      <c r="D13" s="413" t="str">
        <f>IF(Skemaoplysninger!$AF20&gt;0,Skemaoplysninger!AJ20,"")</f>
        <v/>
      </c>
      <c r="E13" s="413" t="str">
        <f>IF(Skemaoplysninger!$AF20&gt;0,Skemaoplysninger!AK20,"")</f>
        <v/>
      </c>
      <c r="F13" s="413" t="str">
        <f>IF(Skemaoplysninger!$AF20&gt;0,Skemaoplysninger!AL20,"")</f>
        <v/>
      </c>
      <c r="G13" s="413" t="str">
        <f>IF(Skemaoplysninger!$AF20&gt;0,Skemaoplysninger!AM20,"")</f>
        <v/>
      </c>
    </row>
    <row r="14" spans="1:7" ht="20" customHeight="1">
      <c r="A14" s="38" t="str">
        <f>IF(Skemaoplysninger!$AF21&gt;0,Skemaoplysninger!$AG21,"")</f>
        <v/>
      </c>
      <c r="B14" s="38" t="str">
        <f>IF(Skemaoplysninger!AF21&gt;0,Skemaoplysninger!AH21,"")</f>
        <v/>
      </c>
      <c r="C14" s="25" t="str">
        <f>IF(Skemaoplysninger!$AF21&gt;0,Skemaoplysninger!AI21,"")</f>
        <v/>
      </c>
      <c r="D14" s="25" t="str">
        <f>IF(Skemaoplysninger!$AF21&gt;0,Skemaoplysninger!AJ21,"")</f>
        <v/>
      </c>
      <c r="E14" s="25" t="str">
        <f>IF(Skemaoplysninger!$AF21&gt;0,Skemaoplysninger!AK21,"")</f>
        <v/>
      </c>
      <c r="F14" s="25" t="str">
        <f>IF(Skemaoplysninger!$AF21&gt;0,Skemaoplysninger!AL21,"")</f>
        <v/>
      </c>
      <c r="G14" s="25" t="str">
        <f>IF(Skemaoplysninger!$AF21&gt;0,Skemaoplysninger!AM21,"")</f>
        <v/>
      </c>
    </row>
    <row r="15" spans="1:7" ht="20" customHeight="1">
      <c r="A15" s="39" t="str">
        <f>IF(Skemaoplysninger!$AF22&gt;0,Skemaoplysninger!$AG22,"")</f>
        <v/>
      </c>
      <c r="B15" s="39" t="str">
        <f>IF(Skemaoplysninger!AF22&gt;0,Skemaoplysninger!AH22,"")</f>
        <v/>
      </c>
      <c r="C15" s="413" t="str">
        <f>IF(Skemaoplysninger!$AF22&gt;0,Skemaoplysninger!AI22,"")</f>
        <v/>
      </c>
      <c r="D15" s="413" t="str">
        <f>IF(Skemaoplysninger!$AF22&gt;0,Skemaoplysninger!AJ22,"")</f>
        <v/>
      </c>
      <c r="E15" s="413" t="str">
        <f>IF(Skemaoplysninger!$AF22&gt;0,Skemaoplysninger!AK22,"")</f>
        <v/>
      </c>
      <c r="F15" s="413" t="str">
        <f>IF(Skemaoplysninger!$AF22&gt;0,Skemaoplysninger!AL22,"")</f>
        <v/>
      </c>
      <c r="G15" s="413" t="str">
        <f>IF(Skemaoplysninger!$AF22&gt;0,Skemaoplysninger!AM22,"")</f>
        <v/>
      </c>
    </row>
    <row r="16" spans="1:7" ht="20" customHeight="1">
      <c r="A16" s="38" t="str">
        <f>IF(Skemaoplysninger!$AF23&gt;0,Skemaoplysninger!$AG23,"")</f>
        <v/>
      </c>
      <c r="B16" s="38" t="str">
        <f>IF(Skemaoplysninger!AF23&gt;0,Skemaoplysninger!AH23,"")</f>
        <v/>
      </c>
      <c r="C16" s="25" t="str">
        <f>IF(Skemaoplysninger!$AF23&gt;0,Skemaoplysninger!AI23,"")</f>
        <v/>
      </c>
      <c r="D16" s="25" t="str">
        <f>IF(Skemaoplysninger!$AF23&gt;0,Skemaoplysninger!AJ23,"")</f>
        <v/>
      </c>
      <c r="E16" s="25" t="str">
        <f>IF(Skemaoplysninger!$AF23&gt;0,Skemaoplysninger!AK23,"")</f>
        <v/>
      </c>
      <c r="F16" s="25" t="str">
        <f>IF(Skemaoplysninger!$AF23&gt;0,Skemaoplysninger!AL23,"")</f>
        <v/>
      </c>
      <c r="G16" s="25" t="str">
        <f>IF(Skemaoplysninger!$AF23&gt;0,Skemaoplysninger!AM23,"")</f>
        <v/>
      </c>
    </row>
    <row r="17" spans="1:7" ht="20" customHeight="1">
      <c r="A17" s="39" t="str">
        <f>IF(Skemaoplysninger!$AF24&gt;0,Skemaoplysninger!$AG24,"")</f>
        <v/>
      </c>
      <c r="B17" s="39" t="str">
        <f>IF(Skemaoplysninger!AF24&gt;0,Skemaoplysninger!AH24,"")</f>
        <v/>
      </c>
      <c r="C17" s="413" t="str">
        <f>IF(Skemaoplysninger!$AF24&gt;0,Skemaoplysninger!AI24,"")</f>
        <v/>
      </c>
      <c r="D17" s="413" t="str">
        <f>IF(Skemaoplysninger!$AF24&gt;0,Skemaoplysninger!AJ24,"")</f>
        <v/>
      </c>
      <c r="E17" s="413" t="str">
        <f>IF(Skemaoplysninger!$AF24&gt;0,Skemaoplysninger!AK24,"")</f>
        <v/>
      </c>
      <c r="F17" s="413" t="str">
        <f>IF(Skemaoplysninger!$AF24&gt;0,Skemaoplysninger!AL24,"")</f>
        <v/>
      </c>
      <c r="G17" s="413" t="str">
        <f>IF(Skemaoplysninger!$AF24&gt;0,Skemaoplysninger!AM24,"")</f>
        <v/>
      </c>
    </row>
    <row r="18" spans="1:7" ht="20" customHeight="1">
      <c r="A18" s="38" t="str">
        <f>IF(Skemaoplysninger!$AF25&gt;0,Skemaoplysninger!$AG25,"")</f>
        <v/>
      </c>
      <c r="B18" s="38" t="str">
        <f>IF(Skemaoplysninger!AF25&gt;0,Skemaoplysninger!AH25,"")</f>
        <v/>
      </c>
      <c r="C18" s="25" t="str">
        <f>IF(Skemaoplysninger!$AF25&gt;0,Skemaoplysninger!AI25,"")</f>
        <v/>
      </c>
      <c r="D18" s="25" t="str">
        <f>IF(Skemaoplysninger!$AF25&gt;0,Skemaoplysninger!AJ25,"")</f>
        <v/>
      </c>
      <c r="E18" s="25" t="str">
        <f>IF(Skemaoplysninger!$AF25&gt;0,Skemaoplysninger!AK25,"")</f>
        <v/>
      </c>
      <c r="F18" s="25" t="str">
        <f>IF(Skemaoplysninger!$AF25&gt;0,Skemaoplysninger!AL25,"")</f>
        <v/>
      </c>
      <c r="G18" s="25" t="str">
        <f>IF(Skemaoplysninger!$AF25&gt;0,Skemaoplysninger!AM25,"")</f>
        <v/>
      </c>
    </row>
    <row r="19" spans="1:7" ht="20" customHeight="1">
      <c r="A19" s="39" t="str">
        <f>IF(Skemaoplysninger!$AF26&gt;0,Skemaoplysninger!$AG26,"")</f>
        <v/>
      </c>
      <c r="B19" s="39" t="str">
        <f>IF(Skemaoplysninger!AF26&gt;0,Skemaoplysninger!AH26,"")</f>
        <v/>
      </c>
      <c r="C19" s="413" t="str">
        <f>IF(Skemaoplysninger!$AF26&gt;0,Skemaoplysninger!AI26,"")</f>
        <v/>
      </c>
      <c r="D19" s="413" t="str">
        <f>IF(Skemaoplysninger!$AF26&gt;0,Skemaoplysninger!AJ26,"")</f>
        <v/>
      </c>
      <c r="E19" s="413" t="str">
        <f>IF(Skemaoplysninger!$AF26&gt;0,Skemaoplysninger!AK26,"")</f>
        <v/>
      </c>
      <c r="F19" s="413" t="str">
        <f>IF(Skemaoplysninger!$AF26&gt;0,Skemaoplysninger!AL26,"")</f>
        <v/>
      </c>
      <c r="G19" s="413" t="str">
        <f>IF(Skemaoplysninger!$AF26&gt;0,Skemaoplysninger!AM26,"")</f>
        <v/>
      </c>
    </row>
    <row r="20" spans="1:7" ht="20" customHeight="1">
      <c r="A20" s="38" t="str">
        <f>IF(Skemaoplysninger!$AF27&gt;0,Skemaoplysninger!$AG27,"")</f>
        <v/>
      </c>
      <c r="B20" s="38" t="str">
        <f>IF(Skemaoplysninger!AF27&gt;0,Skemaoplysninger!AH27,"")</f>
        <v/>
      </c>
      <c r="C20" s="25" t="str">
        <f>IF(Skemaoplysninger!$AF27&gt;0,Skemaoplysninger!AI27,"")</f>
        <v/>
      </c>
      <c r="D20" s="25" t="str">
        <f>IF(Skemaoplysninger!$AF27&gt;0,Skemaoplysninger!AJ27,"")</f>
        <v/>
      </c>
      <c r="E20" s="25" t="str">
        <f>IF(Skemaoplysninger!$AF27&gt;0,Skemaoplysninger!AK27,"")</f>
        <v/>
      </c>
      <c r="F20" s="25" t="str">
        <f>IF(Skemaoplysninger!$AF27&gt;0,Skemaoplysninger!AL27,"")</f>
        <v/>
      </c>
      <c r="G20" s="25" t="str">
        <f>IF(Skemaoplysninger!$AF27&gt;0,Skemaoplysninger!AM27,"")</f>
        <v/>
      </c>
    </row>
    <row r="21" spans="1:7" ht="20" customHeight="1">
      <c r="A21" s="39" t="str">
        <f>IF(Skemaoplysninger!$AF28&gt;0,Skemaoplysninger!$AG28,"")</f>
        <v/>
      </c>
      <c r="B21" s="39" t="str">
        <f>IF(Skemaoplysninger!AF28&gt;0,Skemaoplysninger!AH28,"")</f>
        <v/>
      </c>
      <c r="C21" s="413" t="str">
        <f>IF(Skemaoplysninger!$AF28&gt;0,Skemaoplysninger!AI28,"")</f>
        <v/>
      </c>
      <c r="D21" s="413" t="str">
        <f>IF(Skemaoplysninger!$AF28&gt;0,Skemaoplysninger!AJ28,"")</f>
        <v/>
      </c>
      <c r="E21" s="413" t="str">
        <f>IF(Skemaoplysninger!$AF28&gt;0,Skemaoplysninger!AK28,"")</f>
        <v/>
      </c>
      <c r="F21" s="413" t="str">
        <f>IF(Skemaoplysninger!$AF28&gt;0,Skemaoplysninger!AL28,"")</f>
        <v/>
      </c>
      <c r="G21" s="413" t="str">
        <f>IF(Skemaoplysninger!$AF28&gt;0,Skemaoplysninger!AM28,"")</f>
        <v/>
      </c>
    </row>
    <row r="22" spans="1:7" ht="20" customHeight="1">
      <c r="A22" s="38" t="str">
        <f>IF(Skemaoplysninger!$AF29&gt;0,Skemaoplysninger!$AG29,"")</f>
        <v/>
      </c>
      <c r="B22" s="38" t="str">
        <f>IF(Skemaoplysninger!AF29&gt;0,Skemaoplysninger!AH29,"")</f>
        <v/>
      </c>
      <c r="C22" s="25" t="str">
        <f>IF(Skemaoplysninger!$AF29&gt;0,Skemaoplysninger!AI29,"")</f>
        <v/>
      </c>
      <c r="D22" s="25" t="str">
        <f>IF(Skemaoplysninger!$AF29&gt;0,Skemaoplysninger!AJ29,"")</f>
        <v/>
      </c>
      <c r="E22" s="25" t="str">
        <f>IF(Skemaoplysninger!$AF29&gt;0,Skemaoplysninger!AK29,"")</f>
        <v/>
      </c>
      <c r="F22" s="25" t="str">
        <f>IF(Skemaoplysninger!$AF29&gt;0,Skemaoplysninger!AL29,"")</f>
        <v/>
      </c>
      <c r="G22" s="25" t="str">
        <f>IF(Skemaoplysninger!$AF29&gt;0,Skemaoplysninger!AM29,"")</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D36AB-5AAF-E248-B125-E0150B531C59}">
  <sheetPr>
    <pageSetUpPr fitToPage="1"/>
  </sheetPr>
  <dimension ref="A1:AV33"/>
  <sheetViews>
    <sheetView workbookViewId="0">
      <selection activeCell="AI28" sqref="AI28"/>
    </sheetView>
  </sheetViews>
  <sheetFormatPr baseColWidth="10" defaultRowHeight="16"/>
  <cols>
    <col min="1" max="2" width="2.83203125" customWidth="1"/>
    <col min="3" max="3" width="11.83203125" customWidth="1"/>
    <col min="4" max="4" width="2.83203125" style="188" customWidth="1"/>
    <col min="5" max="6" width="2.83203125" customWidth="1"/>
    <col min="7" max="7" width="11.83203125" customWidth="1"/>
    <col min="8" max="10" width="2.83203125" customWidth="1"/>
    <col min="11" max="11" width="11.83203125" customWidth="1"/>
    <col min="12" max="14" width="2.83203125" customWidth="1"/>
    <col min="15" max="15" width="11.83203125" customWidth="1"/>
    <col min="16" max="18" width="2.83203125" customWidth="1"/>
    <col min="19" max="19" width="11.83203125" customWidth="1"/>
    <col min="20" max="22" width="2.83203125" customWidth="1"/>
    <col min="23" max="23" width="11.83203125" customWidth="1"/>
    <col min="24" max="26" width="2.83203125" customWidth="1"/>
    <col min="27" max="27" width="11.83203125" customWidth="1"/>
    <col min="28" max="30" width="2.83203125" customWidth="1"/>
    <col min="31" max="31" width="11.83203125" customWidth="1"/>
    <col min="32" max="34" width="2.83203125" customWidth="1"/>
    <col min="35" max="35" width="11.83203125" customWidth="1"/>
    <col min="36" max="38" width="2.83203125" customWidth="1"/>
    <col min="39" max="39" width="11.83203125" customWidth="1"/>
    <col min="40" max="42" width="2.83203125" customWidth="1"/>
    <col min="43" max="43" width="11.83203125" customWidth="1"/>
    <col min="44" max="46" width="2.83203125" customWidth="1"/>
    <col min="47" max="47" width="11.83203125" customWidth="1"/>
    <col min="48" max="48" width="2.83203125" customWidth="1"/>
  </cols>
  <sheetData>
    <row r="1" spans="1:48" ht="31" thickBot="1">
      <c r="A1" s="317" t="s">
        <v>548</v>
      </c>
      <c r="B1" s="318"/>
      <c r="C1" s="319"/>
      <c r="D1" s="320"/>
      <c r="E1" s="319"/>
      <c r="F1" s="318"/>
      <c r="G1" s="319"/>
      <c r="H1" s="320"/>
      <c r="I1" s="319"/>
      <c r="J1" s="318"/>
      <c r="K1" s="319"/>
      <c r="L1" s="320"/>
      <c r="M1" s="319"/>
      <c r="N1" s="318"/>
      <c r="O1" s="319"/>
      <c r="P1" s="320"/>
      <c r="Q1" s="319"/>
      <c r="R1" s="318"/>
      <c r="S1" s="319"/>
      <c r="T1" s="320"/>
      <c r="U1" s="319"/>
      <c r="V1" s="318"/>
      <c r="W1" s="319"/>
      <c r="X1" s="320"/>
      <c r="Y1" s="319"/>
      <c r="Z1" s="318"/>
      <c r="AA1" s="319"/>
      <c r="AB1" s="320"/>
      <c r="AC1" s="319"/>
      <c r="AD1" s="318"/>
      <c r="AE1" s="319"/>
      <c r="AF1" s="320"/>
      <c r="AG1" s="319"/>
      <c r="AH1" s="318"/>
      <c r="AI1" s="319"/>
      <c r="AJ1" s="320"/>
      <c r="AK1" s="319"/>
      <c r="AL1" s="318"/>
      <c r="AM1" s="319"/>
      <c r="AN1" s="320"/>
      <c r="AO1" s="319"/>
      <c r="AP1" s="318"/>
      <c r="AQ1" s="319"/>
      <c r="AR1" s="320"/>
      <c r="AS1" s="319"/>
      <c r="AT1" s="318"/>
      <c r="AU1" s="319"/>
      <c r="AV1" s="321"/>
    </row>
    <row r="2" spans="1:48" ht="18">
      <c r="A2" s="322" t="s">
        <v>92</v>
      </c>
      <c r="B2" s="323"/>
      <c r="C2" s="324"/>
      <c r="D2" s="325"/>
      <c r="E2" s="322" t="s">
        <v>93</v>
      </c>
      <c r="F2" s="323"/>
      <c r="G2" s="324"/>
      <c r="H2" s="325"/>
      <c r="I2" s="326" t="s">
        <v>94</v>
      </c>
      <c r="J2" s="323"/>
      <c r="K2" s="324"/>
      <c r="L2" s="325"/>
      <c r="M2" s="322" t="s">
        <v>95</v>
      </c>
      <c r="N2" s="323"/>
      <c r="O2" s="324"/>
      <c r="P2" s="325"/>
      <c r="Q2" s="322" t="s">
        <v>96</v>
      </c>
      <c r="R2" s="323"/>
      <c r="S2" s="324"/>
      <c r="T2" s="325"/>
      <c r="U2" s="322" t="s">
        <v>97</v>
      </c>
      <c r="V2" s="323"/>
      <c r="W2" s="324"/>
      <c r="X2" s="325"/>
      <c r="Y2" s="326" t="s">
        <v>100</v>
      </c>
      <c r="Z2" s="323"/>
      <c r="AA2" s="324"/>
      <c r="AB2" s="325"/>
      <c r="AC2" s="322" t="s">
        <v>101</v>
      </c>
      <c r="AD2" s="323"/>
      <c r="AE2" s="324"/>
      <c r="AF2" s="325"/>
      <c r="AG2" s="322" t="s">
        <v>102</v>
      </c>
      <c r="AH2" s="323"/>
      <c r="AI2" s="324"/>
      <c r="AJ2" s="325"/>
      <c r="AK2" s="322" t="s">
        <v>103</v>
      </c>
      <c r="AL2" s="323"/>
      <c r="AM2" s="324"/>
      <c r="AN2" s="325"/>
      <c r="AO2" s="322" t="s">
        <v>104</v>
      </c>
      <c r="AP2" s="323"/>
      <c r="AQ2" s="324"/>
      <c r="AR2" s="325"/>
      <c r="AS2" s="322" t="s">
        <v>105</v>
      </c>
      <c r="AT2" s="323"/>
      <c r="AU2" s="324"/>
      <c r="AV2" s="325"/>
    </row>
    <row r="3" spans="1:48">
      <c r="A3" s="585">
        <v>1</v>
      </c>
      <c r="B3" s="586" t="s">
        <v>158</v>
      </c>
      <c r="C3" s="587"/>
      <c r="D3" s="588">
        <v>31.285714285714285</v>
      </c>
      <c r="E3" s="585">
        <v>1</v>
      </c>
      <c r="F3" s="586" t="s">
        <v>159</v>
      </c>
      <c r="G3" s="587"/>
      <c r="H3" s="589" t="s">
        <v>143</v>
      </c>
      <c r="I3" s="590">
        <v>1</v>
      </c>
      <c r="J3" s="591" t="s">
        <v>160</v>
      </c>
      <c r="K3" s="592"/>
      <c r="L3" s="593" t="s">
        <v>143</v>
      </c>
      <c r="M3" s="585">
        <v>1</v>
      </c>
      <c r="N3" s="586" t="s">
        <v>154</v>
      </c>
      <c r="O3" s="587"/>
      <c r="P3" s="594" t="s">
        <v>143</v>
      </c>
      <c r="Q3" s="585">
        <v>1</v>
      </c>
      <c r="R3" s="586" t="s">
        <v>159</v>
      </c>
      <c r="S3" s="587"/>
      <c r="T3" s="594" t="s">
        <v>143</v>
      </c>
      <c r="U3" s="590">
        <v>1</v>
      </c>
      <c r="V3" s="591" t="s">
        <v>156</v>
      </c>
      <c r="W3" s="592" t="s">
        <v>142</v>
      </c>
      <c r="X3" s="593">
        <v>1</v>
      </c>
      <c r="Y3" s="585">
        <v>1</v>
      </c>
      <c r="Z3" s="586" t="s">
        <v>157</v>
      </c>
      <c r="AA3" s="587"/>
      <c r="AB3" s="589" t="s">
        <v>143</v>
      </c>
      <c r="AC3" s="585">
        <v>1</v>
      </c>
      <c r="AD3" s="586" t="s">
        <v>159</v>
      </c>
      <c r="AE3" s="587"/>
      <c r="AF3" s="594" t="s">
        <v>143</v>
      </c>
      <c r="AG3" s="590">
        <v>1</v>
      </c>
      <c r="AH3" s="591" t="s">
        <v>156</v>
      </c>
      <c r="AI3" s="592" t="s">
        <v>319</v>
      </c>
      <c r="AJ3" s="595">
        <v>14</v>
      </c>
      <c r="AK3" s="585">
        <v>1</v>
      </c>
      <c r="AL3" s="586" t="s">
        <v>154</v>
      </c>
      <c r="AM3" s="587"/>
      <c r="AN3" s="594"/>
      <c r="AO3" s="590">
        <v>1</v>
      </c>
      <c r="AP3" s="591" t="s">
        <v>155</v>
      </c>
      <c r="AQ3" s="592"/>
      <c r="AR3" s="595" t="s">
        <v>143</v>
      </c>
      <c r="AS3" s="585">
        <v>1</v>
      </c>
      <c r="AT3" s="586" t="s">
        <v>156</v>
      </c>
      <c r="AU3" s="587"/>
      <c r="AV3" s="594">
        <v>27</v>
      </c>
    </row>
    <row r="4" spans="1:48">
      <c r="A4" s="585">
        <v>2</v>
      </c>
      <c r="B4" s="586" t="s">
        <v>154</v>
      </c>
      <c r="C4" s="587"/>
      <c r="D4" s="588" t="s">
        <v>143</v>
      </c>
      <c r="E4" s="590">
        <v>2</v>
      </c>
      <c r="F4" s="591" t="s">
        <v>155</v>
      </c>
      <c r="G4" s="592"/>
      <c r="H4" s="595" t="s">
        <v>143</v>
      </c>
      <c r="I4" s="585">
        <v>2</v>
      </c>
      <c r="J4" s="586" t="s">
        <v>156</v>
      </c>
      <c r="K4" s="587"/>
      <c r="L4" s="594">
        <v>40</v>
      </c>
      <c r="M4" s="585">
        <v>2</v>
      </c>
      <c r="N4" s="586" t="s">
        <v>157</v>
      </c>
      <c r="O4" s="587"/>
      <c r="P4" s="594" t="s">
        <v>143</v>
      </c>
      <c r="Q4" s="590">
        <v>2</v>
      </c>
      <c r="R4" s="591" t="s">
        <v>155</v>
      </c>
      <c r="S4" s="592"/>
      <c r="T4" s="593" t="s">
        <v>143</v>
      </c>
      <c r="U4" s="585">
        <v>2</v>
      </c>
      <c r="V4" s="586" t="s">
        <v>158</v>
      </c>
      <c r="W4" s="587"/>
      <c r="X4" s="594"/>
      <c r="Y4" s="585">
        <v>2</v>
      </c>
      <c r="Z4" s="586" t="s">
        <v>159</v>
      </c>
      <c r="AA4" s="587"/>
      <c r="AB4" s="589" t="s">
        <v>143</v>
      </c>
      <c r="AC4" s="590">
        <v>2</v>
      </c>
      <c r="AD4" s="591" t="s">
        <v>155</v>
      </c>
      <c r="AE4" s="592"/>
      <c r="AF4" s="593" t="s">
        <v>143</v>
      </c>
      <c r="AG4" s="585">
        <v>2</v>
      </c>
      <c r="AH4" s="586" t="s">
        <v>158</v>
      </c>
      <c r="AI4" s="587"/>
      <c r="AJ4" s="589" t="s">
        <v>143</v>
      </c>
      <c r="AK4" s="585">
        <v>2</v>
      </c>
      <c r="AL4" s="586" t="s">
        <v>157</v>
      </c>
      <c r="AM4" s="587"/>
      <c r="AN4" s="594" t="s">
        <v>143</v>
      </c>
      <c r="AO4" s="590">
        <v>2</v>
      </c>
      <c r="AP4" s="591" t="s">
        <v>160</v>
      </c>
      <c r="AQ4" s="592"/>
      <c r="AR4" s="595" t="s">
        <v>143</v>
      </c>
      <c r="AS4" s="585">
        <v>2</v>
      </c>
      <c r="AT4" s="586" t="s">
        <v>158</v>
      </c>
      <c r="AU4" s="587"/>
      <c r="AV4" s="594" t="s">
        <v>143</v>
      </c>
    </row>
    <row r="5" spans="1:48">
      <c r="A5" s="585">
        <v>3</v>
      </c>
      <c r="B5" s="586" t="s">
        <v>157</v>
      </c>
      <c r="C5" s="587"/>
      <c r="D5" s="588" t="s">
        <v>143</v>
      </c>
      <c r="E5" s="590">
        <v>3</v>
      </c>
      <c r="F5" s="591" t="s">
        <v>160</v>
      </c>
      <c r="G5" s="592"/>
      <c r="H5" s="595" t="s">
        <v>143</v>
      </c>
      <c r="I5" s="585">
        <v>3</v>
      </c>
      <c r="J5" s="586" t="s">
        <v>158</v>
      </c>
      <c r="K5" s="587"/>
      <c r="L5" s="594"/>
      <c r="M5" s="585">
        <v>3</v>
      </c>
      <c r="N5" s="586" t="s">
        <v>159</v>
      </c>
      <c r="O5" s="587"/>
      <c r="P5" s="594" t="s">
        <v>143</v>
      </c>
      <c r="Q5" s="590">
        <v>3</v>
      </c>
      <c r="R5" s="591" t="s">
        <v>160</v>
      </c>
      <c r="S5" s="592"/>
      <c r="T5" s="593" t="s">
        <v>143</v>
      </c>
      <c r="U5" s="585">
        <v>3</v>
      </c>
      <c r="V5" s="586" t="s">
        <v>154</v>
      </c>
      <c r="W5" s="587"/>
      <c r="X5" s="594" t="s">
        <v>143</v>
      </c>
      <c r="Y5" s="590">
        <v>3</v>
      </c>
      <c r="Z5" s="591" t="s">
        <v>155</v>
      </c>
      <c r="AA5" s="592"/>
      <c r="AB5" s="595" t="s">
        <v>143</v>
      </c>
      <c r="AC5" s="590">
        <v>3</v>
      </c>
      <c r="AD5" s="591" t="s">
        <v>160</v>
      </c>
      <c r="AE5" s="592"/>
      <c r="AF5" s="593" t="s">
        <v>143</v>
      </c>
      <c r="AG5" s="585">
        <v>3</v>
      </c>
      <c r="AH5" s="586" t="s">
        <v>154</v>
      </c>
      <c r="AI5" s="587"/>
      <c r="AJ5" s="589"/>
      <c r="AK5" s="585">
        <v>3</v>
      </c>
      <c r="AL5" s="586" t="s">
        <v>159</v>
      </c>
      <c r="AM5" s="587"/>
      <c r="AN5" s="594" t="s">
        <v>143</v>
      </c>
      <c r="AO5" s="585">
        <v>3</v>
      </c>
      <c r="AP5" s="586" t="s">
        <v>156</v>
      </c>
      <c r="AQ5" s="587"/>
      <c r="AR5" s="589">
        <v>23</v>
      </c>
      <c r="AS5" s="585">
        <v>3</v>
      </c>
      <c r="AT5" s="586" t="s">
        <v>154</v>
      </c>
      <c r="AU5" s="587"/>
      <c r="AV5" s="594"/>
    </row>
    <row r="6" spans="1:48">
      <c r="A6" s="585">
        <v>4</v>
      </c>
      <c r="B6" s="586" t="s">
        <v>159</v>
      </c>
      <c r="C6" s="587"/>
      <c r="D6" s="588" t="s">
        <v>143</v>
      </c>
      <c r="E6" s="585">
        <v>4</v>
      </c>
      <c r="F6" s="586" t="s">
        <v>156</v>
      </c>
      <c r="G6" s="587"/>
      <c r="H6" s="589">
        <v>36</v>
      </c>
      <c r="I6" s="585">
        <v>4</v>
      </c>
      <c r="J6" s="586" t="s">
        <v>154</v>
      </c>
      <c r="K6" s="587"/>
      <c r="L6" s="594" t="s">
        <v>143</v>
      </c>
      <c r="M6" s="590">
        <v>4</v>
      </c>
      <c r="N6" s="591" t="s">
        <v>155</v>
      </c>
      <c r="O6" s="592"/>
      <c r="P6" s="593" t="s">
        <v>143</v>
      </c>
      <c r="Q6" s="585">
        <v>4</v>
      </c>
      <c r="R6" s="586" t="s">
        <v>156</v>
      </c>
      <c r="S6" s="587"/>
      <c r="T6" s="594">
        <v>49</v>
      </c>
      <c r="U6" s="585">
        <v>4</v>
      </c>
      <c r="V6" s="586" t="s">
        <v>157</v>
      </c>
      <c r="W6" s="587"/>
      <c r="X6" s="594" t="s">
        <v>143</v>
      </c>
      <c r="Y6" s="590">
        <v>4</v>
      </c>
      <c r="Z6" s="591" t="s">
        <v>160</v>
      </c>
      <c r="AA6" s="592"/>
      <c r="AB6" s="595" t="s">
        <v>143</v>
      </c>
      <c r="AC6" s="585">
        <v>4</v>
      </c>
      <c r="AD6" s="586" t="s">
        <v>156</v>
      </c>
      <c r="AE6" s="587"/>
      <c r="AF6" s="594">
        <v>10</v>
      </c>
      <c r="AG6" s="585">
        <v>4</v>
      </c>
      <c r="AH6" s="586" t="s">
        <v>157</v>
      </c>
      <c r="AI6" s="587"/>
      <c r="AJ6" s="589" t="s">
        <v>143</v>
      </c>
      <c r="AK6" s="590">
        <v>4</v>
      </c>
      <c r="AL6" s="591" t="s">
        <v>155</v>
      </c>
      <c r="AM6" s="592"/>
      <c r="AN6" s="593" t="s">
        <v>143</v>
      </c>
      <c r="AO6" s="585">
        <v>4</v>
      </c>
      <c r="AP6" s="586" t="s">
        <v>158</v>
      </c>
      <c r="AQ6" s="587"/>
      <c r="AR6" s="589" t="s">
        <v>143</v>
      </c>
      <c r="AS6" s="585">
        <v>4</v>
      </c>
      <c r="AT6" s="586" t="s">
        <v>157</v>
      </c>
      <c r="AU6" s="587"/>
      <c r="AV6" s="594" t="s">
        <v>143</v>
      </c>
    </row>
    <row r="7" spans="1:48">
      <c r="A7" s="590">
        <v>5</v>
      </c>
      <c r="B7" s="591" t="s">
        <v>155</v>
      </c>
      <c r="C7" s="592"/>
      <c r="D7" s="596" t="s">
        <v>143</v>
      </c>
      <c r="E7" s="585">
        <v>5</v>
      </c>
      <c r="F7" s="586" t="s">
        <v>158</v>
      </c>
      <c r="G7" s="587"/>
      <c r="H7" s="589"/>
      <c r="I7" s="585">
        <v>5</v>
      </c>
      <c r="J7" s="586" t="s">
        <v>157</v>
      </c>
      <c r="K7" s="587"/>
      <c r="L7" s="594" t="s">
        <v>143</v>
      </c>
      <c r="M7" s="590">
        <v>5</v>
      </c>
      <c r="N7" s="591" t="s">
        <v>160</v>
      </c>
      <c r="O7" s="592"/>
      <c r="P7" s="593" t="s">
        <v>143</v>
      </c>
      <c r="Q7" s="585">
        <v>5</v>
      </c>
      <c r="R7" s="586" t="s">
        <v>158</v>
      </c>
      <c r="S7" s="587"/>
      <c r="T7" s="594"/>
      <c r="U7" s="585">
        <v>5</v>
      </c>
      <c r="V7" s="586" t="s">
        <v>159</v>
      </c>
      <c r="W7" s="587"/>
      <c r="X7" s="594" t="s">
        <v>143</v>
      </c>
      <c r="Y7" s="585">
        <v>5</v>
      </c>
      <c r="Z7" s="586" t="s">
        <v>156</v>
      </c>
      <c r="AA7" s="587"/>
      <c r="AB7" s="589">
        <v>6</v>
      </c>
      <c r="AC7" s="585">
        <v>5</v>
      </c>
      <c r="AD7" s="586" t="s">
        <v>158</v>
      </c>
      <c r="AE7" s="587"/>
      <c r="AF7" s="594" t="s">
        <v>143</v>
      </c>
      <c r="AG7" s="585">
        <v>5</v>
      </c>
      <c r="AH7" s="586" t="s">
        <v>159</v>
      </c>
      <c r="AI7" s="587"/>
      <c r="AJ7" s="589" t="s">
        <v>143</v>
      </c>
      <c r="AK7" s="590">
        <v>5</v>
      </c>
      <c r="AL7" s="591" t="s">
        <v>160</v>
      </c>
      <c r="AM7" s="592"/>
      <c r="AN7" s="593" t="s">
        <v>143</v>
      </c>
      <c r="AO7" s="585">
        <v>5</v>
      </c>
      <c r="AP7" s="586" t="s">
        <v>154</v>
      </c>
      <c r="AQ7" s="587" t="s">
        <v>221</v>
      </c>
      <c r="AR7" s="589"/>
      <c r="AS7" s="585">
        <v>5</v>
      </c>
      <c r="AT7" s="586" t="s">
        <v>159</v>
      </c>
      <c r="AU7" s="587"/>
      <c r="AV7" s="594" t="s">
        <v>143</v>
      </c>
    </row>
    <row r="8" spans="1:48">
      <c r="A8" s="590">
        <v>6</v>
      </c>
      <c r="B8" s="591" t="s">
        <v>160</v>
      </c>
      <c r="C8" s="592"/>
      <c r="D8" s="596" t="s">
        <v>143</v>
      </c>
      <c r="E8" s="585">
        <v>6</v>
      </c>
      <c r="F8" s="586" t="s">
        <v>154</v>
      </c>
      <c r="G8" s="587"/>
      <c r="H8" s="589" t="s">
        <v>143</v>
      </c>
      <c r="I8" s="585">
        <v>6</v>
      </c>
      <c r="J8" s="586" t="s">
        <v>159</v>
      </c>
      <c r="K8" s="587"/>
      <c r="L8" s="594" t="s">
        <v>143</v>
      </c>
      <c r="M8" s="585">
        <v>6</v>
      </c>
      <c r="N8" s="586" t="s">
        <v>156</v>
      </c>
      <c r="O8" s="587"/>
      <c r="P8" s="594">
        <v>45</v>
      </c>
      <c r="Q8" s="585">
        <v>6</v>
      </c>
      <c r="R8" s="586" t="s">
        <v>154</v>
      </c>
      <c r="S8" s="587"/>
      <c r="T8" s="594" t="s">
        <v>143</v>
      </c>
      <c r="U8" s="590">
        <v>6</v>
      </c>
      <c r="V8" s="591" t="s">
        <v>155</v>
      </c>
      <c r="W8" s="592"/>
      <c r="X8" s="593" t="s">
        <v>143</v>
      </c>
      <c r="Y8" s="585">
        <v>6</v>
      </c>
      <c r="Z8" s="586" t="s">
        <v>158</v>
      </c>
      <c r="AA8" s="587"/>
      <c r="AB8" s="589"/>
      <c r="AC8" s="585">
        <v>6</v>
      </c>
      <c r="AD8" s="586" t="s">
        <v>154</v>
      </c>
      <c r="AE8" s="587"/>
      <c r="AF8" s="594"/>
      <c r="AG8" s="590">
        <v>6</v>
      </c>
      <c r="AH8" s="591" t="s">
        <v>155</v>
      </c>
      <c r="AI8" s="592"/>
      <c r="AJ8" s="595" t="s">
        <v>143</v>
      </c>
      <c r="AK8" s="585">
        <v>6</v>
      </c>
      <c r="AL8" s="586" t="s">
        <v>156</v>
      </c>
      <c r="AM8" s="587"/>
      <c r="AN8" s="594">
        <v>19</v>
      </c>
      <c r="AO8" s="585">
        <v>6</v>
      </c>
      <c r="AP8" s="586" t="s">
        <v>157</v>
      </c>
      <c r="AQ8" s="587"/>
      <c r="AR8" s="589" t="s">
        <v>143</v>
      </c>
      <c r="AS8" s="590">
        <v>6</v>
      </c>
      <c r="AT8" s="591" t="s">
        <v>155</v>
      </c>
      <c r="AU8" s="592"/>
      <c r="AV8" s="593" t="s">
        <v>143</v>
      </c>
    </row>
    <row r="9" spans="1:48">
      <c r="A9" s="585">
        <v>7</v>
      </c>
      <c r="B9" s="586" t="s">
        <v>156</v>
      </c>
      <c r="C9" s="587"/>
      <c r="D9" s="597">
        <v>32</v>
      </c>
      <c r="E9" s="585">
        <v>7</v>
      </c>
      <c r="F9" s="586" t="s">
        <v>157</v>
      </c>
      <c r="G9" s="587"/>
      <c r="H9" s="589" t="s">
        <v>143</v>
      </c>
      <c r="I9" s="590">
        <v>7</v>
      </c>
      <c r="J9" s="591" t="s">
        <v>155</v>
      </c>
      <c r="K9" s="592"/>
      <c r="L9" s="593" t="s">
        <v>143</v>
      </c>
      <c r="M9" s="585">
        <v>7</v>
      </c>
      <c r="N9" s="586" t="s">
        <v>158</v>
      </c>
      <c r="O9" s="587"/>
      <c r="P9" s="594"/>
      <c r="Q9" s="585">
        <v>7</v>
      </c>
      <c r="R9" s="586" t="s">
        <v>157</v>
      </c>
      <c r="S9" s="587"/>
      <c r="T9" s="594" t="s">
        <v>143</v>
      </c>
      <c r="U9" s="590">
        <v>7</v>
      </c>
      <c r="V9" s="591" t="s">
        <v>160</v>
      </c>
      <c r="W9" s="592"/>
      <c r="X9" s="593" t="s">
        <v>143</v>
      </c>
      <c r="Y9" s="585">
        <v>7</v>
      </c>
      <c r="Z9" s="586" t="s">
        <v>154</v>
      </c>
      <c r="AA9" s="587"/>
      <c r="AB9" s="589" t="s">
        <v>143</v>
      </c>
      <c r="AC9" s="585">
        <v>7</v>
      </c>
      <c r="AD9" s="586" t="s">
        <v>157</v>
      </c>
      <c r="AE9" s="587"/>
      <c r="AF9" s="594" t="s">
        <v>143</v>
      </c>
      <c r="AG9" s="590">
        <v>7</v>
      </c>
      <c r="AH9" s="591" t="s">
        <v>160</v>
      </c>
      <c r="AI9" s="592"/>
      <c r="AJ9" s="595" t="s">
        <v>143</v>
      </c>
      <c r="AK9" s="585">
        <v>7</v>
      </c>
      <c r="AL9" s="586" t="s">
        <v>158</v>
      </c>
      <c r="AM9" s="587"/>
      <c r="AN9" s="594" t="s">
        <v>143</v>
      </c>
      <c r="AO9" s="585">
        <v>7</v>
      </c>
      <c r="AP9" s="586" t="s">
        <v>159</v>
      </c>
      <c r="AQ9" s="587"/>
      <c r="AR9" s="589" t="s">
        <v>143</v>
      </c>
      <c r="AS9" s="590">
        <v>7</v>
      </c>
      <c r="AT9" s="591" t="s">
        <v>160</v>
      </c>
      <c r="AU9" s="592"/>
      <c r="AV9" s="593" t="s">
        <v>143</v>
      </c>
    </row>
    <row r="10" spans="1:48">
      <c r="A10" s="585">
        <v>8</v>
      </c>
      <c r="B10" s="586" t="s">
        <v>158</v>
      </c>
      <c r="C10" s="587"/>
      <c r="D10" s="588"/>
      <c r="E10" s="585">
        <v>8</v>
      </c>
      <c r="F10" s="586" t="s">
        <v>159</v>
      </c>
      <c r="G10" s="587"/>
      <c r="H10" s="589" t="s">
        <v>143</v>
      </c>
      <c r="I10" s="590">
        <v>8</v>
      </c>
      <c r="J10" s="591" t="s">
        <v>160</v>
      </c>
      <c r="K10" s="592"/>
      <c r="L10" s="593" t="s">
        <v>143</v>
      </c>
      <c r="M10" s="585">
        <v>8</v>
      </c>
      <c r="N10" s="586" t="s">
        <v>154</v>
      </c>
      <c r="O10" s="587"/>
      <c r="P10" s="594" t="s">
        <v>143</v>
      </c>
      <c r="Q10" s="585">
        <v>8</v>
      </c>
      <c r="R10" s="586" t="s">
        <v>159</v>
      </c>
      <c r="S10" s="587"/>
      <c r="T10" s="594" t="s">
        <v>143</v>
      </c>
      <c r="U10" s="585">
        <v>8</v>
      </c>
      <c r="V10" s="586" t="s">
        <v>156</v>
      </c>
      <c r="W10" s="587"/>
      <c r="X10" s="594">
        <v>2</v>
      </c>
      <c r="Y10" s="585">
        <v>8</v>
      </c>
      <c r="Z10" s="586" t="s">
        <v>157</v>
      </c>
      <c r="AA10" s="587"/>
      <c r="AB10" s="589" t="s">
        <v>143</v>
      </c>
      <c r="AC10" s="585">
        <v>8</v>
      </c>
      <c r="AD10" s="586" t="s">
        <v>159</v>
      </c>
      <c r="AE10" s="587"/>
      <c r="AF10" s="594" t="s">
        <v>143</v>
      </c>
      <c r="AG10" s="585">
        <v>8</v>
      </c>
      <c r="AH10" s="586" t="s">
        <v>156</v>
      </c>
      <c r="AI10" s="587"/>
      <c r="AJ10" s="589">
        <v>15</v>
      </c>
      <c r="AK10" s="585">
        <v>8</v>
      </c>
      <c r="AL10" s="586" t="s">
        <v>154</v>
      </c>
      <c r="AM10" s="587"/>
      <c r="AN10" s="594"/>
      <c r="AO10" s="590">
        <v>8</v>
      </c>
      <c r="AP10" s="591" t="s">
        <v>155</v>
      </c>
      <c r="AQ10" s="592"/>
      <c r="AR10" s="595" t="s">
        <v>143</v>
      </c>
      <c r="AS10" s="585">
        <v>8</v>
      </c>
      <c r="AT10" s="586" t="s">
        <v>156</v>
      </c>
      <c r="AU10" s="587"/>
      <c r="AV10" s="594">
        <v>28</v>
      </c>
    </row>
    <row r="11" spans="1:48">
      <c r="A11" s="585">
        <v>9</v>
      </c>
      <c r="B11" s="586" t="s">
        <v>154</v>
      </c>
      <c r="C11" s="587"/>
      <c r="D11" s="588" t="s">
        <v>143</v>
      </c>
      <c r="E11" s="590">
        <v>9</v>
      </c>
      <c r="F11" s="591" t="s">
        <v>155</v>
      </c>
      <c r="G11" s="592"/>
      <c r="H11" s="595" t="s">
        <v>143</v>
      </c>
      <c r="I11" s="585">
        <v>9</v>
      </c>
      <c r="J11" s="586" t="s">
        <v>156</v>
      </c>
      <c r="K11" s="587"/>
      <c r="L11" s="594">
        <v>41</v>
      </c>
      <c r="M11" s="585">
        <v>9</v>
      </c>
      <c r="N11" s="586" t="s">
        <v>157</v>
      </c>
      <c r="O11" s="587"/>
      <c r="P11" s="594" t="s">
        <v>143</v>
      </c>
      <c r="Q11" s="590">
        <v>9</v>
      </c>
      <c r="R11" s="591" t="s">
        <v>155</v>
      </c>
      <c r="S11" s="592"/>
      <c r="T11" s="593" t="s">
        <v>143</v>
      </c>
      <c r="U11" s="585">
        <v>9</v>
      </c>
      <c r="V11" s="586" t="s">
        <v>158</v>
      </c>
      <c r="W11" s="587"/>
      <c r="X11" s="594"/>
      <c r="Y11" s="585">
        <v>9</v>
      </c>
      <c r="Z11" s="586" t="s">
        <v>159</v>
      </c>
      <c r="AA11" s="587"/>
      <c r="AB11" s="589" t="s">
        <v>143</v>
      </c>
      <c r="AC11" s="590">
        <v>9</v>
      </c>
      <c r="AD11" s="591" t="s">
        <v>155</v>
      </c>
      <c r="AE11" s="592"/>
      <c r="AF11" s="593" t="s">
        <v>143</v>
      </c>
      <c r="AG11" s="585">
        <v>9</v>
      </c>
      <c r="AH11" s="586" t="s">
        <v>158</v>
      </c>
      <c r="AI11" s="587"/>
      <c r="AJ11" s="589" t="s">
        <v>143</v>
      </c>
      <c r="AK11" s="590">
        <v>9</v>
      </c>
      <c r="AL11" s="591" t="s">
        <v>157</v>
      </c>
      <c r="AM11" s="598" t="s">
        <v>325</v>
      </c>
      <c r="AN11" s="593" t="s">
        <v>143</v>
      </c>
      <c r="AO11" s="590">
        <v>9</v>
      </c>
      <c r="AP11" s="591" t="s">
        <v>160</v>
      </c>
      <c r="AQ11" s="592"/>
      <c r="AR11" s="595" t="s">
        <v>143</v>
      </c>
      <c r="AS11" s="585">
        <v>9</v>
      </c>
      <c r="AT11" s="586" t="s">
        <v>158</v>
      </c>
      <c r="AU11" s="587"/>
      <c r="AV11" s="594" t="s">
        <v>143</v>
      </c>
    </row>
    <row r="12" spans="1:48">
      <c r="A12" s="585">
        <v>10</v>
      </c>
      <c r="B12" s="586" t="s">
        <v>157</v>
      </c>
      <c r="C12" s="587"/>
      <c r="D12" s="588" t="s">
        <v>143</v>
      </c>
      <c r="E12" s="590">
        <v>10</v>
      </c>
      <c r="F12" s="591" t="s">
        <v>160</v>
      </c>
      <c r="G12" s="592"/>
      <c r="H12" s="595" t="s">
        <v>143</v>
      </c>
      <c r="I12" s="585">
        <v>10</v>
      </c>
      <c r="J12" s="586" t="s">
        <v>158</v>
      </c>
      <c r="K12" s="587"/>
      <c r="L12" s="594"/>
      <c r="M12" s="585">
        <v>10</v>
      </c>
      <c r="N12" s="586" t="s">
        <v>159</v>
      </c>
      <c r="O12" s="587"/>
      <c r="P12" s="594" t="s">
        <v>143</v>
      </c>
      <c r="Q12" s="590">
        <v>10</v>
      </c>
      <c r="R12" s="591" t="s">
        <v>160</v>
      </c>
      <c r="S12" s="592"/>
      <c r="T12" s="593" t="s">
        <v>143</v>
      </c>
      <c r="U12" s="585">
        <v>10</v>
      </c>
      <c r="V12" s="586" t="s">
        <v>154</v>
      </c>
      <c r="W12" s="587"/>
      <c r="X12" s="594" t="s">
        <v>143</v>
      </c>
      <c r="Y12" s="590">
        <v>10</v>
      </c>
      <c r="Z12" s="591" t="s">
        <v>155</v>
      </c>
      <c r="AA12" s="592"/>
      <c r="AB12" s="595" t="s">
        <v>143</v>
      </c>
      <c r="AC12" s="590">
        <v>10</v>
      </c>
      <c r="AD12" s="591" t="s">
        <v>160</v>
      </c>
      <c r="AE12" s="592"/>
      <c r="AF12" s="593" t="s">
        <v>143</v>
      </c>
      <c r="AG12" s="585">
        <v>10</v>
      </c>
      <c r="AH12" s="586" t="s">
        <v>154</v>
      </c>
      <c r="AI12" s="587"/>
      <c r="AJ12" s="589"/>
      <c r="AK12" s="585">
        <v>10</v>
      </c>
      <c r="AL12" s="586" t="s">
        <v>159</v>
      </c>
      <c r="AM12" s="587"/>
      <c r="AN12" s="594" t="s">
        <v>143</v>
      </c>
      <c r="AO12" s="585">
        <v>10</v>
      </c>
      <c r="AP12" s="586" t="s">
        <v>156</v>
      </c>
      <c r="AQ12" s="587"/>
      <c r="AR12" s="589">
        <v>24</v>
      </c>
      <c r="AS12" s="585">
        <v>10</v>
      </c>
      <c r="AT12" s="586" t="s">
        <v>154</v>
      </c>
      <c r="AU12" s="587"/>
      <c r="AV12" s="594"/>
    </row>
    <row r="13" spans="1:48">
      <c r="A13" s="585">
        <v>11</v>
      </c>
      <c r="B13" s="586" t="s">
        <v>159</v>
      </c>
      <c r="C13" s="587"/>
      <c r="D13" s="588" t="s">
        <v>143</v>
      </c>
      <c r="E13" s="585">
        <v>11</v>
      </c>
      <c r="F13" s="586" t="s">
        <v>156</v>
      </c>
      <c r="G13" s="587"/>
      <c r="H13" s="589">
        <v>37</v>
      </c>
      <c r="I13" s="585">
        <v>11</v>
      </c>
      <c r="J13" s="586" t="s">
        <v>154</v>
      </c>
      <c r="K13" s="587"/>
      <c r="L13" s="594" t="s">
        <v>143</v>
      </c>
      <c r="M13" s="590">
        <v>11</v>
      </c>
      <c r="N13" s="591" t="s">
        <v>155</v>
      </c>
      <c r="O13" s="592"/>
      <c r="P13" s="593" t="s">
        <v>143</v>
      </c>
      <c r="Q13" s="585">
        <v>11</v>
      </c>
      <c r="R13" s="586" t="s">
        <v>156</v>
      </c>
      <c r="S13" s="587"/>
      <c r="T13" s="594">
        <v>50</v>
      </c>
      <c r="U13" s="585">
        <v>11</v>
      </c>
      <c r="V13" s="586" t="s">
        <v>157</v>
      </c>
      <c r="W13" s="587"/>
      <c r="X13" s="594" t="s">
        <v>143</v>
      </c>
      <c r="Y13" s="590">
        <v>11</v>
      </c>
      <c r="Z13" s="591" t="s">
        <v>160</v>
      </c>
      <c r="AA13" s="592"/>
      <c r="AB13" s="595" t="s">
        <v>143</v>
      </c>
      <c r="AC13" s="585">
        <v>11</v>
      </c>
      <c r="AD13" s="586" t="s">
        <v>156</v>
      </c>
      <c r="AE13" s="587"/>
      <c r="AF13" s="594">
        <v>11</v>
      </c>
      <c r="AG13" s="585">
        <v>11</v>
      </c>
      <c r="AH13" s="586" t="s">
        <v>157</v>
      </c>
      <c r="AI13" s="587"/>
      <c r="AJ13" s="589" t="s">
        <v>143</v>
      </c>
      <c r="AK13" s="590">
        <v>11</v>
      </c>
      <c r="AL13" s="591" t="s">
        <v>155</v>
      </c>
      <c r="AM13" s="592"/>
      <c r="AN13" s="593" t="s">
        <v>143</v>
      </c>
      <c r="AO13" s="585">
        <v>11</v>
      </c>
      <c r="AP13" s="586" t="s">
        <v>158</v>
      </c>
      <c r="AQ13" s="587"/>
      <c r="AR13" s="589" t="s">
        <v>143</v>
      </c>
      <c r="AS13" s="585">
        <v>11</v>
      </c>
      <c r="AT13" s="586" t="s">
        <v>157</v>
      </c>
      <c r="AU13" s="587"/>
      <c r="AV13" s="594" t="s">
        <v>143</v>
      </c>
    </row>
    <row r="14" spans="1:48">
      <c r="A14" s="590">
        <v>12</v>
      </c>
      <c r="B14" s="591" t="s">
        <v>155</v>
      </c>
      <c r="C14" s="592"/>
      <c r="D14" s="596" t="s">
        <v>143</v>
      </c>
      <c r="E14" s="585">
        <v>12</v>
      </c>
      <c r="F14" s="586" t="s">
        <v>158</v>
      </c>
      <c r="G14" s="587"/>
      <c r="H14" s="589"/>
      <c r="I14" s="585">
        <v>12</v>
      </c>
      <c r="J14" s="586" t="s">
        <v>157</v>
      </c>
      <c r="K14" s="587"/>
      <c r="L14" s="594" t="s">
        <v>143</v>
      </c>
      <c r="M14" s="590">
        <v>12</v>
      </c>
      <c r="N14" s="591" t="s">
        <v>160</v>
      </c>
      <c r="O14" s="592"/>
      <c r="P14" s="593" t="s">
        <v>143</v>
      </c>
      <c r="Q14" s="585">
        <v>12</v>
      </c>
      <c r="R14" s="586" t="s">
        <v>158</v>
      </c>
      <c r="S14" s="587"/>
      <c r="T14" s="594"/>
      <c r="U14" s="585">
        <v>12</v>
      </c>
      <c r="V14" s="586" t="s">
        <v>159</v>
      </c>
      <c r="W14" s="587"/>
      <c r="X14" s="594" t="s">
        <v>143</v>
      </c>
      <c r="Y14" s="585">
        <v>12</v>
      </c>
      <c r="Z14" s="586" t="s">
        <v>156</v>
      </c>
      <c r="AA14" s="587"/>
      <c r="AB14" s="589">
        <v>7</v>
      </c>
      <c r="AC14" s="585">
        <v>12</v>
      </c>
      <c r="AD14" s="586" t="s">
        <v>158</v>
      </c>
      <c r="AE14" s="587"/>
      <c r="AF14" s="594" t="s">
        <v>143</v>
      </c>
      <c r="AG14" s="585">
        <v>12</v>
      </c>
      <c r="AH14" s="586" t="s">
        <v>159</v>
      </c>
      <c r="AI14" s="587"/>
      <c r="AJ14" s="589" t="s">
        <v>143</v>
      </c>
      <c r="AK14" s="590">
        <v>12</v>
      </c>
      <c r="AL14" s="591" t="s">
        <v>160</v>
      </c>
      <c r="AM14" s="592"/>
      <c r="AN14" s="593" t="s">
        <v>143</v>
      </c>
      <c r="AO14" s="585">
        <v>12</v>
      </c>
      <c r="AP14" s="586" t="s">
        <v>154</v>
      </c>
      <c r="AQ14" s="587"/>
      <c r="AR14" s="589"/>
      <c r="AS14" s="585">
        <v>12</v>
      </c>
      <c r="AT14" s="586" t="s">
        <v>159</v>
      </c>
      <c r="AU14" s="587"/>
      <c r="AV14" s="594" t="s">
        <v>143</v>
      </c>
    </row>
    <row r="15" spans="1:48">
      <c r="A15" s="590">
        <v>13</v>
      </c>
      <c r="B15" s="591" t="s">
        <v>160</v>
      </c>
      <c r="C15" s="592"/>
      <c r="D15" s="596" t="s">
        <v>143</v>
      </c>
      <c r="E15" s="585">
        <v>13</v>
      </c>
      <c r="F15" s="586" t="s">
        <v>154</v>
      </c>
      <c r="G15" s="587"/>
      <c r="H15" s="589" t="s">
        <v>143</v>
      </c>
      <c r="I15" s="585">
        <v>13</v>
      </c>
      <c r="J15" s="586" t="s">
        <v>159</v>
      </c>
      <c r="K15" s="587"/>
      <c r="L15" s="594" t="s">
        <v>143</v>
      </c>
      <c r="M15" s="585">
        <v>13</v>
      </c>
      <c r="N15" s="586" t="s">
        <v>156</v>
      </c>
      <c r="O15" s="587"/>
      <c r="P15" s="594">
        <v>46</v>
      </c>
      <c r="Q15" s="585">
        <v>13</v>
      </c>
      <c r="R15" s="586" t="s">
        <v>154</v>
      </c>
      <c r="S15" s="587"/>
      <c r="T15" s="594" t="s">
        <v>143</v>
      </c>
      <c r="U15" s="590">
        <v>13</v>
      </c>
      <c r="V15" s="591" t="s">
        <v>155</v>
      </c>
      <c r="W15" s="592"/>
      <c r="X15" s="593" t="s">
        <v>143</v>
      </c>
      <c r="Y15" s="585">
        <v>13</v>
      </c>
      <c r="Z15" s="586" t="s">
        <v>158</v>
      </c>
      <c r="AA15" s="587"/>
      <c r="AB15" s="589"/>
      <c r="AC15" s="585">
        <v>13</v>
      </c>
      <c r="AD15" s="586" t="s">
        <v>154</v>
      </c>
      <c r="AE15" s="587"/>
      <c r="AF15" s="594"/>
      <c r="AG15" s="590">
        <v>13</v>
      </c>
      <c r="AH15" s="591" t="s">
        <v>155</v>
      </c>
      <c r="AI15" s="592"/>
      <c r="AJ15" s="595" t="s">
        <v>143</v>
      </c>
      <c r="AK15" s="585">
        <v>13</v>
      </c>
      <c r="AL15" s="586" t="s">
        <v>156</v>
      </c>
      <c r="AM15" s="587"/>
      <c r="AN15" s="594">
        <v>20</v>
      </c>
      <c r="AO15" s="585">
        <v>13</v>
      </c>
      <c r="AP15" s="586" t="s">
        <v>157</v>
      </c>
      <c r="AQ15" s="587"/>
      <c r="AR15" s="589" t="s">
        <v>143</v>
      </c>
      <c r="AS15" s="590">
        <v>13</v>
      </c>
      <c r="AT15" s="591" t="s">
        <v>155</v>
      </c>
      <c r="AU15" s="592"/>
      <c r="AV15" s="593" t="s">
        <v>143</v>
      </c>
    </row>
    <row r="16" spans="1:48">
      <c r="A16" s="585">
        <v>14</v>
      </c>
      <c r="B16" s="586" t="s">
        <v>156</v>
      </c>
      <c r="C16" s="587"/>
      <c r="D16" s="597">
        <v>33</v>
      </c>
      <c r="E16" s="585">
        <v>14</v>
      </c>
      <c r="F16" s="586" t="s">
        <v>157</v>
      </c>
      <c r="G16" s="587"/>
      <c r="H16" s="589" t="s">
        <v>143</v>
      </c>
      <c r="I16" s="590">
        <v>14</v>
      </c>
      <c r="J16" s="591" t="s">
        <v>155</v>
      </c>
      <c r="K16" s="592"/>
      <c r="L16" s="593" t="s">
        <v>143</v>
      </c>
      <c r="M16" s="585">
        <v>14</v>
      </c>
      <c r="N16" s="586" t="s">
        <v>158</v>
      </c>
      <c r="O16" s="587"/>
      <c r="P16" s="594"/>
      <c r="Q16" s="585">
        <v>14</v>
      </c>
      <c r="R16" s="586" t="s">
        <v>157</v>
      </c>
      <c r="S16" s="587"/>
      <c r="T16" s="594" t="s">
        <v>143</v>
      </c>
      <c r="U16" s="590">
        <v>14</v>
      </c>
      <c r="V16" s="591" t="s">
        <v>160</v>
      </c>
      <c r="W16" s="592"/>
      <c r="X16" s="593" t="s">
        <v>143</v>
      </c>
      <c r="Y16" s="585">
        <v>14</v>
      </c>
      <c r="Z16" s="586" t="s">
        <v>154</v>
      </c>
      <c r="AA16" s="587"/>
      <c r="AB16" s="589" t="s">
        <v>143</v>
      </c>
      <c r="AC16" s="585">
        <v>14</v>
      </c>
      <c r="AD16" s="586" t="s">
        <v>157</v>
      </c>
      <c r="AE16" s="587"/>
      <c r="AF16" s="594" t="s">
        <v>143</v>
      </c>
      <c r="AG16" s="590">
        <v>14</v>
      </c>
      <c r="AH16" s="591" t="s">
        <v>160</v>
      </c>
      <c r="AI16" s="592"/>
      <c r="AJ16" s="595" t="s">
        <v>143</v>
      </c>
      <c r="AK16" s="585">
        <v>14</v>
      </c>
      <c r="AL16" s="586" t="s">
        <v>158</v>
      </c>
      <c r="AM16" s="587"/>
      <c r="AN16" s="594" t="s">
        <v>143</v>
      </c>
      <c r="AO16" s="585">
        <v>14</v>
      </c>
      <c r="AP16" s="586" t="s">
        <v>159</v>
      </c>
      <c r="AQ16" s="587"/>
      <c r="AR16" s="589" t="s">
        <v>143</v>
      </c>
      <c r="AS16" s="590">
        <v>14</v>
      </c>
      <c r="AT16" s="591" t="s">
        <v>160</v>
      </c>
      <c r="AU16" s="592"/>
      <c r="AV16" s="593" t="s">
        <v>143</v>
      </c>
    </row>
    <row r="17" spans="1:48">
      <c r="A17" s="585">
        <v>15</v>
      </c>
      <c r="B17" s="586" t="s">
        <v>158</v>
      </c>
      <c r="C17" s="587"/>
      <c r="D17" s="588"/>
      <c r="E17" s="585">
        <v>15</v>
      </c>
      <c r="F17" s="586" t="s">
        <v>159</v>
      </c>
      <c r="G17" s="587"/>
      <c r="H17" s="589" t="s">
        <v>143</v>
      </c>
      <c r="I17" s="590">
        <v>15</v>
      </c>
      <c r="J17" s="591" t="s">
        <v>160</v>
      </c>
      <c r="K17" s="592"/>
      <c r="L17" s="593" t="s">
        <v>143</v>
      </c>
      <c r="M17" s="585">
        <v>15</v>
      </c>
      <c r="N17" s="586" t="s">
        <v>154</v>
      </c>
      <c r="O17" s="587"/>
      <c r="P17" s="594" t="s">
        <v>143</v>
      </c>
      <c r="Q17" s="585">
        <v>15</v>
      </c>
      <c r="R17" s="586" t="s">
        <v>159</v>
      </c>
      <c r="S17" s="587"/>
      <c r="T17" s="594" t="s">
        <v>143</v>
      </c>
      <c r="U17" s="585">
        <v>15</v>
      </c>
      <c r="V17" s="586" t="s">
        <v>156</v>
      </c>
      <c r="W17" s="587"/>
      <c r="X17" s="594">
        <v>3</v>
      </c>
      <c r="Y17" s="585">
        <v>15</v>
      </c>
      <c r="Z17" s="586" t="s">
        <v>157</v>
      </c>
      <c r="AA17" s="587"/>
      <c r="AB17" s="589" t="s">
        <v>143</v>
      </c>
      <c r="AC17" s="585">
        <v>15</v>
      </c>
      <c r="AD17" s="586" t="s">
        <v>159</v>
      </c>
      <c r="AE17" s="587"/>
      <c r="AF17" s="594" t="s">
        <v>143</v>
      </c>
      <c r="AG17" s="585">
        <v>15</v>
      </c>
      <c r="AH17" s="586" t="s">
        <v>156</v>
      </c>
      <c r="AI17" s="587"/>
      <c r="AJ17" s="589">
        <v>16</v>
      </c>
      <c r="AK17" s="585">
        <v>15</v>
      </c>
      <c r="AL17" s="586" t="s">
        <v>154</v>
      </c>
      <c r="AM17" s="587"/>
      <c r="AN17" s="594"/>
      <c r="AO17" s="590">
        <v>15</v>
      </c>
      <c r="AP17" s="591" t="s">
        <v>155</v>
      </c>
      <c r="AQ17" s="592"/>
      <c r="AR17" s="595" t="s">
        <v>143</v>
      </c>
      <c r="AS17" s="585">
        <v>15</v>
      </c>
      <c r="AT17" s="586" t="s">
        <v>156</v>
      </c>
      <c r="AU17" s="587"/>
      <c r="AV17" s="594">
        <v>29</v>
      </c>
    </row>
    <row r="18" spans="1:48">
      <c r="A18" s="585">
        <v>16</v>
      </c>
      <c r="B18" s="586" t="s">
        <v>154</v>
      </c>
      <c r="C18" s="587"/>
      <c r="D18" s="588" t="s">
        <v>143</v>
      </c>
      <c r="E18" s="590">
        <v>16</v>
      </c>
      <c r="F18" s="591" t="s">
        <v>155</v>
      </c>
      <c r="G18" s="592"/>
      <c r="H18" s="595" t="s">
        <v>143</v>
      </c>
      <c r="I18" s="585">
        <v>16</v>
      </c>
      <c r="J18" s="586" t="s">
        <v>156</v>
      </c>
      <c r="K18" s="587"/>
      <c r="L18" s="594">
        <v>42</v>
      </c>
      <c r="M18" s="585">
        <v>16</v>
      </c>
      <c r="N18" s="586" t="s">
        <v>157</v>
      </c>
      <c r="O18" s="587"/>
      <c r="P18" s="594" t="s">
        <v>143</v>
      </c>
      <c r="Q18" s="590">
        <v>16</v>
      </c>
      <c r="R18" s="591" t="s">
        <v>155</v>
      </c>
      <c r="S18" s="592"/>
      <c r="T18" s="593" t="s">
        <v>143</v>
      </c>
      <c r="U18" s="585">
        <v>16</v>
      </c>
      <c r="V18" s="586" t="s">
        <v>158</v>
      </c>
      <c r="W18" s="587"/>
      <c r="X18" s="594"/>
      <c r="Y18" s="585">
        <v>16</v>
      </c>
      <c r="Z18" s="586" t="s">
        <v>159</v>
      </c>
      <c r="AA18" s="587"/>
      <c r="AB18" s="589" t="s">
        <v>143</v>
      </c>
      <c r="AC18" s="590">
        <v>16</v>
      </c>
      <c r="AD18" s="591" t="s">
        <v>155</v>
      </c>
      <c r="AE18" s="592"/>
      <c r="AF18" s="593" t="s">
        <v>143</v>
      </c>
      <c r="AG18" s="585">
        <v>16</v>
      </c>
      <c r="AH18" s="586" t="s">
        <v>158</v>
      </c>
      <c r="AI18" s="587"/>
      <c r="AJ18" s="589" t="s">
        <v>143</v>
      </c>
      <c r="AK18" s="585">
        <v>16</v>
      </c>
      <c r="AL18" s="586" t="s">
        <v>157</v>
      </c>
      <c r="AM18" s="587"/>
      <c r="AN18" s="594" t="s">
        <v>143</v>
      </c>
      <c r="AO18" s="590">
        <v>16</v>
      </c>
      <c r="AP18" s="591" t="s">
        <v>160</v>
      </c>
      <c r="AQ18" s="592"/>
      <c r="AR18" s="595" t="s">
        <v>143</v>
      </c>
      <c r="AS18" s="585">
        <v>16</v>
      </c>
      <c r="AT18" s="586" t="s">
        <v>158</v>
      </c>
      <c r="AU18" s="587"/>
      <c r="AV18" s="594" t="s">
        <v>143</v>
      </c>
    </row>
    <row r="19" spans="1:48">
      <c r="A19" s="585">
        <v>17</v>
      </c>
      <c r="B19" s="586" t="s">
        <v>157</v>
      </c>
      <c r="C19" s="587"/>
      <c r="D19" s="588" t="s">
        <v>143</v>
      </c>
      <c r="E19" s="590">
        <v>17</v>
      </c>
      <c r="F19" s="591" t="s">
        <v>160</v>
      </c>
      <c r="G19" s="592"/>
      <c r="H19" s="595" t="s">
        <v>143</v>
      </c>
      <c r="I19" s="585">
        <v>17</v>
      </c>
      <c r="J19" s="586" t="s">
        <v>158</v>
      </c>
      <c r="K19" s="587"/>
      <c r="L19" s="594"/>
      <c r="M19" s="585">
        <v>17</v>
      </c>
      <c r="N19" s="586" t="s">
        <v>159</v>
      </c>
      <c r="O19" s="587"/>
      <c r="P19" s="594" t="s">
        <v>143</v>
      </c>
      <c r="Q19" s="590">
        <v>17</v>
      </c>
      <c r="R19" s="591" t="s">
        <v>160</v>
      </c>
      <c r="S19" s="592"/>
      <c r="T19" s="593" t="s">
        <v>143</v>
      </c>
      <c r="U19" s="585">
        <v>17</v>
      </c>
      <c r="V19" s="586" t="s">
        <v>154</v>
      </c>
      <c r="W19" s="587"/>
      <c r="X19" s="594" t="s">
        <v>143</v>
      </c>
      <c r="Y19" s="590">
        <v>17</v>
      </c>
      <c r="Z19" s="591" t="s">
        <v>155</v>
      </c>
      <c r="AA19" s="592"/>
      <c r="AB19" s="595" t="s">
        <v>143</v>
      </c>
      <c r="AC19" s="590">
        <v>17</v>
      </c>
      <c r="AD19" s="591" t="s">
        <v>160</v>
      </c>
      <c r="AE19" s="592"/>
      <c r="AF19" s="593" t="s">
        <v>143</v>
      </c>
      <c r="AG19" s="585">
        <v>17</v>
      </c>
      <c r="AH19" s="586" t="s">
        <v>154</v>
      </c>
      <c r="AI19" s="587"/>
      <c r="AJ19" s="589"/>
      <c r="AK19" s="585">
        <v>17</v>
      </c>
      <c r="AL19" s="586" t="s">
        <v>159</v>
      </c>
      <c r="AM19" s="587"/>
      <c r="AN19" s="594" t="s">
        <v>143</v>
      </c>
      <c r="AO19" s="585">
        <v>17</v>
      </c>
      <c r="AP19" s="586" t="s">
        <v>156</v>
      </c>
      <c r="AQ19" s="587"/>
      <c r="AR19" s="589">
        <v>25</v>
      </c>
      <c r="AS19" s="585">
        <v>17</v>
      </c>
      <c r="AT19" s="586" t="s">
        <v>154</v>
      </c>
      <c r="AU19" s="587"/>
      <c r="AV19" s="594"/>
    </row>
    <row r="20" spans="1:48">
      <c r="A20" s="585">
        <v>18</v>
      </c>
      <c r="B20" s="586" t="s">
        <v>159</v>
      </c>
      <c r="C20" s="587"/>
      <c r="D20" s="588" t="s">
        <v>143</v>
      </c>
      <c r="E20" s="585">
        <v>18</v>
      </c>
      <c r="F20" s="586" t="s">
        <v>156</v>
      </c>
      <c r="G20" s="587"/>
      <c r="H20" s="589">
        <v>38</v>
      </c>
      <c r="I20" s="585">
        <v>18</v>
      </c>
      <c r="J20" s="586" t="s">
        <v>154</v>
      </c>
      <c r="K20" s="587"/>
      <c r="L20" s="594" t="s">
        <v>143</v>
      </c>
      <c r="M20" s="590">
        <v>18</v>
      </c>
      <c r="N20" s="591" t="s">
        <v>155</v>
      </c>
      <c r="O20" s="592"/>
      <c r="P20" s="593" t="s">
        <v>143</v>
      </c>
      <c r="Q20" s="585">
        <v>18</v>
      </c>
      <c r="R20" s="586" t="s">
        <v>156</v>
      </c>
      <c r="S20" s="587"/>
      <c r="T20" s="594">
        <v>51</v>
      </c>
      <c r="U20" s="585">
        <v>18</v>
      </c>
      <c r="V20" s="586" t="s">
        <v>157</v>
      </c>
      <c r="W20" s="587"/>
      <c r="X20" s="594" t="s">
        <v>143</v>
      </c>
      <c r="Y20" s="590">
        <v>18</v>
      </c>
      <c r="Z20" s="591" t="s">
        <v>160</v>
      </c>
      <c r="AA20" s="592"/>
      <c r="AB20" s="595" t="s">
        <v>143</v>
      </c>
      <c r="AC20" s="585">
        <v>18</v>
      </c>
      <c r="AD20" s="586" t="s">
        <v>156</v>
      </c>
      <c r="AE20" s="587"/>
      <c r="AF20" s="594">
        <v>12</v>
      </c>
      <c r="AG20" s="585">
        <v>18</v>
      </c>
      <c r="AH20" s="586" t="s">
        <v>157</v>
      </c>
      <c r="AI20" s="587"/>
      <c r="AJ20" s="589" t="s">
        <v>143</v>
      </c>
      <c r="AK20" s="590">
        <v>18</v>
      </c>
      <c r="AL20" s="591" t="s">
        <v>155</v>
      </c>
      <c r="AM20" s="1323"/>
      <c r="AN20" s="1324"/>
      <c r="AO20" s="585">
        <v>18</v>
      </c>
      <c r="AP20" s="586" t="s">
        <v>158</v>
      </c>
      <c r="AQ20" s="587"/>
      <c r="AR20" s="589" t="s">
        <v>143</v>
      </c>
      <c r="AS20" s="585">
        <v>18</v>
      </c>
      <c r="AT20" s="586" t="s">
        <v>157</v>
      </c>
      <c r="AU20" s="587"/>
      <c r="AV20" s="594" t="s">
        <v>143</v>
      </c>
    </row>
    <row r="21" spans="1:48">
      <c r="A21" s="590">
        <v>19</v>
      </c>
      <c r="B21" s="591" t="s">
        <v>155</v>
      </c>
      <c r="C21" s="592"/>
      <c r="D21" s="596" t="s">
        <v>143</v>
      </c>
      <c r="E21" s="585">
        <v>19</v>
      </c>
      <c r="F21" s="586" t="s">
        <v>158</v>
      </c>
      <c r="G21" s="587"/>
      <c r="H21" s="589"/>
      <c r="I21" s="585">
        <v>19</v>
      </c>
      <c r="J21" s="586" t="s">
        <v>157</v>
      </c>
      <c r="K21" s="587"/>
      <c r="L21" s="594" t="s">
        <v>143</v>
      </c>
      <c r="M21" s="590">
        <v>19</v>
      </c>
      <c r="N21" s="591" t="s">
        <v>160</v>
      </c>
      <c r="O21" s="592"/>
      <c r="P21" s="593" t="s">
        <v>143</v>
      </c>
      <c r="Q21" s="585">
        <v>19</v>
      </c>
      <c r="R21" s="586" t="s">
        <v>158</v>
      </c>
      <c r="S21" s="587"/>
      <c r="T21" s="594"/>
      <c r="U21" s="585">
        <v>19</v>
      </c>
      <c r="V21" s="586" t="s">
        <v>159</v>
      </c>
      <c r="W21" s="587"/>
      <c r="X21" s="594" t="s">
        <v>143</v>
      </c>
      <c r="Y21" s="585">
        <v>19</v>
      </c>
      <c r="Z21" s="586" t="s">
        <v>156</v>
      </c>
      <c r="AA21" s="587"/>
      <c r="AB21" s="589">
        <v>8</v>
      </c>
      <c r="AC21" s="585">
        <v>19</v>
      </c>
      <c r="AD21" s="586" t="s">
        <v>158</v>
      </c>
      <c r="AE21" s="587"/>
      <c r="AF21" s="594" t="s">
        <v>143</v>
      </c>
      <c r="AG21" s="585">
        <v>19</v>
      </c>
      <c r="AH21" s="586" t="s">
        <v>159</v>
      </c>
      <c r="AI21" s="587"/>
      <c r="AJ21" s="589" t="s">
        <v>143</v>
      </c>
      <c r="AK21" s="590">
        <v>19</v>
      </c>
      <c r="AL21" s="591" t="s">
        <v>160</v>
      </c>
      <c r="AM21" s="592" t="s">
        <v>180</v>
      </c>
      <c r="AN21" s="593" t="s">
        <v>143</v>
      </c>
      <c r="AO21" s="585">
        <v>19</v>
      </c>
      <c r="AP21" s="586" t="s">
        <v>154</v>
      </c>
      <c r="AQ21" s="587"/>
      <c r="AR21" s="589"/>
      <c r="AS21" s="585">
        <v>19</v>
      </c>
      <c r="AT21" s="586" t="s">
        <v>159</v>
      </c>
      <c r="AU21" s="587"/>
      <c r="AV21" s="594" t="s">
        <v>143</v>
      </c>
    </row>
    <row r="22" spans="1:48">
      <c r="A22" s="590">
        <v>20</v>
      </c>
      <c r="B22" s="591" t="s">
        <v>160</v>
      </c>
      <c r="C22" s="592"/>
      <c r="D22" s="596" t="s">
        <v>143</v>
      </c>
      <c r="E22" s="585">
        <v>20</v>
      </c>
      <c r="F22" s="586" t="s">
        <v>154</v>
      </c>
      <c r="G22" s="587"/>
      <c r="H22" s="589" t="s">
        <v>143</v>
      </c>
      <c r="I22" s="585">
        <v>20</v>
      </c>
      <c r="J22" s="586" t="s">
        <v>159</v>
      </c>
      <c r="K22" s="587"/>
      <c r="L22" s="594" t="s">
        <v>143</v>
      </c>
      <c r="M22" s="585">
        <v>20</v>
      </c>
      <c r="N22" s="586" t="s">
        <v>156</v>
      </c>
      <c r="O22" s="587"/>
      <c r="P22" s="594">
        <v>47</v>
      </c>
      <c r="Q22" s="585">
        <v>20</v>
      </c>
      <c r="R22" s="586" t="s">
        <v>154</v>
      </c>
      <c r="S22" s="587"/>
      <c r="T22" s="594" t="s">
        <v>143</v>
      </c>
      <c r="U22" s="590">
        <v>20</v>
      </c>
      <c r="V22" s="591" t="s">
        <v>155</v>
      </c>
      <c r="W22" s="592"/>
      <c r="X22" s="593" t="s">
        <v>143</v>
      </c>
      <c r="Y22" s="585">
        <v>20</v>
      </c>
      <c r="Z22" s="586" t="s">
        <v>158</v>
      </c>
      <c r="AA22" s="587"/>
      <c r="AB22" s="589"/>
      <c r="AC22" s="585">
        <v>20</v>
      </c>
      <c r="AD22" s="586" t="s">
        <v>154</v>
      </c>
      <c r="AE22" s="587"/>
      <c r="AF22" s="594"/>
      <c r="AG22" s="590">
        <v>20</v>
      </c>
      <c r="AH22" s="591" t="s">
        <v>155</v>
      </c>
      <c r="AI22" s="592"/>
      <c r="AJ22" s="595" t="s">
        <v>143</v>
      </c>
      <c r="AK22" s="590">
        <v>20</v>
      </c>
      <c r="AL22" s="591" t="s">
        <v>156</v>
      </c>
      <c r="AM22" s="592" t="s">
        <v>326</v>
      </c>
      <c r="AN22" s="593">
        <v>21</v>
      </c>
      <c r="AO22" s="585">
        <v>20</v>
      </c>
      <c r="AP22" s="586" t="s">
        <v>157</v>
      </c>
      <c r="AQ22" s="587"/>
      <c r="AR22" s="589" t="s">
        <v>143</v>
      </c>
      <c r="AS22" s="590">
        <v>20</v>
      </c>
      <c r="AT22" s="591" t="s">
        <v>155</v>
      </c>
      <c r="AU22" s="592"/>
      <c r="AV22" s="593" t="s">
        <v>143</v>
      </c>
    </row>
    <row r="23" spans="1:48">
      <c r="A23" s="585">
        <v>21</v>
      </c>
      <c r="B23" s="586" t="s">
        <v>156</v>
      </c>
      <c r="C23" s="587"/>
      <c r="D23" s="597">
        <v>34</v>
      </c>
      <c r="E23" s="585">
        <v>21</v>
      </c>
      <c r="F23" s="586" t="s">
        <v>157</v>
      </c>
      <c r="G23" s="587"/>
      <c r="H23" s="589" t="s">
        <v>143</v>
      </c>
      <c r="I23" s="590">
        <v>21</v>
      </c>
      <c r="J23" s="591" t="s">
        <v>155</v>
      </c>
      <c r="K23" s="592"/>
      <c r="L23" s="593" t="s">
        <v>143</v>
      </c>
      <c r="M23" s="585">
        <v>21</v>
      </c>
      <c r="N23" s="586" t="s">
        <v>158</v>
      </c>
      <c r="O23" s="587"/>
      <c r="P23" s="594"/>
      <c r="Q23" s="585">
        <v>21</v>
      </c>
      <c r="R23" s="586" t="s">
        <v>157</v>
      </c>
      <c r="S23" s="587"/>
      <c r="T23" s="594" t="s">
        <v>143</v>
      </c>
      <c r="U23" s="590">
        <v>21</v>
      </c>
      <c r="V23" s="591" t="s">
        <v>160</v>
      </c>
      <c r="W23" s="592"/>
      <c r="X23" s="593" t="s">
        <v>143</v>
      </c>
      <c r="Y23" s="585">
        <v>21</v>
      </c>
      <c r="Z23" s="586" t="s">
        <v>154</v>
      </c>
      <c r="AA23" s="587"/>
      <c r="AB23" s="589" t="s">
        <v>143</v>
      </c>
      <c r="AC23" s="585">
        <v>21</v>
      </c>
      <c r="AD23" s="586" t="s">
        <v>157</v>
      </c>
      <c r="AE23" s="587"/>
      <c r="AF23" s="594" t="s">
        <v>143</v>
      </c>
      <c r="AG23" s="590">
        <v>21</v>
      </c>
      <c r="AH23" s="591" t="s">
        <v>160</v>
      </c>
      <c r="AI23" s="592"/>
      <c r="AJ23" s="595" t="s">
        <v>143</v>
      </c>
      <c r="AK23" s="585">
        <v>21</v>
      </c>
      <c r="AL23" s="586" t="s">
        <v>158</v>
      </c>
      <c r="AM23" s="587"/>
      <c r="AN23" s="594" t="s">
        <v>143</v>
      </c>
      <c r="AO23" s="585">
        <v>21</v>
      </c>
      <c r="AP23" s="586" t="s">
        <v>159</v>
      </c>
      <c r="AQ23" s="587"/>
      <c r="AR23" s="589" t="s">
        <v>143</v>
      </c>
      <c r="AS23" s="590">
        <v>21</v>
      </c>
      <c r="AT23" s="591" t="s">
        <v>160</v>
      </c>
      <c r="AU23" s="592"/>
      <c r="AV23" s="593" t="s">
        <v>143</v>
      </c>
    </row>
    <row r="24" spans="1:48">
      <c r="A24" s="585">
        <v>22</v>
      </c>
      <c r="B24" s="586" t="s">
        <v>158</v>
      </c>
      <c r="C24" s="587"/>
      <c r="D24" s="597"/>
      <c r="E24" s="585">
        <v>22</v>
      </c>
      <c r="F24" s="586" t="s">
        <v>159</v>
      </c>
      <c r="G24" s="587"/>
      <c r="H24" s="589" t="s">
        <v>143</v>
      </c>
      <c r="I24" s="590">
        <v>22</v>
      </c>
      <c r="J24" s="591" t="s">
        <v>160</v>
      </c>
      <c r="K24" s="592"/>
      <c r="L24" s="593" t="s">
        <v>143</v>
      </c>
      <c r="M24" s="585">
        <v>22</v>
      </c>
      <c r="N24" s="586" t="s">
        <v>154</v>
      </c>
      <c r="O24" s="587"/>
      <c r="P24" s="594" t="s">
        <v>143</v>
      </c>
      <c r="Q24" s="585">
        <v>22</v>
      </c>
      <c r="R24" s="586" t="s">
        <v>159</v>
      </c>
      <c r="S24" s="587"/>
      <c r="T24" s="594" t="s">
        <v>143</v>
      </c>
      <c r="U24" s="585">
        <v>22</v>
      </c>
      <c r="V24" s="586" t="s">
        <v>156</v>
      </c>
      <c r="W24" s="587"/>
      <c r="X24" s="594">
        <v>4</v>
      </c>
      <c r="Y24" s="585">
        <v>22</v>
      </c>
      <c r="Z24" s="586" t="s">
        <v>157</v>
      </c>
      <c r="AA24" s="587"/>
      <c r="AB24" s="589" t="s">
        <v>143</v>
      </c>
      <c r="AC24" s="585">
        <v>22</v>
      </c>
      <c r="AD24" s="586" t="s">
        <v>159</v>
      </c>
      <c r="AE24" s="587"/>
      <c r="AF24" s="594" t="s">
        <v>143</v>
      </c>
      <c r="AG24" s="585">
        <v>22</v>
      </c>
      <c r="AH24" s="586" t="s">
        <v>156</v>
      </c>
      <c r="AI24" s="587"/>
      <c r="AJ24" s="589">
        <v>17</v>
      </c>
      <c r="AK24" s="585">
        <v>22</v>
      </c>
      <c r="AL24" s="586" t="s">
        <v>154</v>
      </c>
      <c r="AM24" s="587"/>
      <c r="AN24" s="594"/>
      <c r="AO24" s="590">
        <v>22</v>
      </c>
      <c r="AP24" s="591" t="s">
        <v>155</v>
      </c>
      <c r="AQ24" s="592"/>
      <c r="AR24" s="595" t="s">
        <v>143</v>
      </c>
      <c r="AS24" s="585">
        <v>22</v>
      </c>
      <c r="AT24" s="586" t="s">
        <v>156</v>
      </c>
      <c r="AU24" s="587"/>
      <c r="AV24" s="594">
        <v>30</v>
      </c>
    </row>
    <row r="25" spans="1:48">
      <c r="A25" s="585">
        <v>23</v>
      </c>
      <c r="B25" s="586" t="s">
        <v>154</v>
      </c>
      <c r="C25" s="587"/>
      <c r="D25" s="597" t="s">
        <v>143</v>
      </c>
      <c r="E25" s="590">
        <v>23</v>
      </c>
      <c r="F25" s="591" t="s">
        <v>155</v>
      </c>
      <c r="G25" s="592"/>
      <c r="H25" s="595" t="s">
        <v>143</v>
      </c>
      <c r="I25" s="585">
        <v>23</v>
      </c>
      <c r="J25" s="586" t="s">
        <v>156</v>
      </c>
      <c r="K25" s="587"/>
      <c r="L25" s="594">
        <v>43</v>
      </c>
      <c r="M25" s="585">
        <v>23</v>
      </c>
      <c r="N25" s="586" t="s">
        <v>157</v>
      </c>
      <c r="O25" s="587"/>
      <c r="P25" s="594" t="s">
        <v>143</v>
      </c>
      <c r="Q25" s="590">
        <v>23</v>
      </c>
      <c r="R25" s="591" t="s">
        <v>155</v>
      </c>
      <c r="S25" s="592"/>
      <c r="T25" s="593" t="s">
        <v>143</v>
      </c>
      <c r="U25" s="585">
        <v>23</v>
      </c>
      <c r="V25" s="586" t="s">
        <v>158</v>
      </c>
      <c r="W25" s="587"/>
      <c r="X25" s="594"/>
      <c r="Y25" s="585">
        <v>23</v>
      </c>
      <c r="Z25" s="586" t="s">
        <v>159</v>
      </c>
      <c r="AA25" s="587"/>
      <c r="AB25" s="589" t="s">
        <v>143</v>
      </c>
      <c r="AC25" s="590">
        <v>23</v>
      </c>
      <c r="AD25" s="591" t="s">
        <v>155</v>
      </c>
      <c r="AE25" s="592"/>
      <c r="AF25" s="593" t="s">
        <v>143</v>
      </c>
      <c r="AG25" s="585">
        <v>23</v>
      </c>
      <c r="AH25" s="586" t="s">
        <v>158</v>
      </c>
      <c r="AI25" s="587"/>
      <c r="AJ25" s="589" t="s">
        <v>143</v>
      </c>
      <c r="AK25" s="585">
        <v>23</v>
      </c>
      <c r="AL25" s="586" t="s">
        <v>157</v>
      </c>
      <c r="AM25" s="587"/>
      <c r="AN25" s="594" t="s">
        <v>143</v>
      </c>
      <c r="AO25" s="590">
        <v>23</v>
      </c>
      <c r="AP25" s="591" t="s">
        <v>160</v>
      </c>
      <c r="AQ25" s="592"/>
      <c r="AR25" s="595" t="s">
        <v>143</v>
      </c>
      <c r="AS25" s="585">
        <v>23</v>
      </c>
      <c r="AT25" s="586" t="s">
        <v>158</v>
      </c>
      <c r="AU25" s="587"/>
      <c r="AV25" s="594" t="s">
        <v>143</v>
      </c>
    </row>
    <row r="26" spans="1:48">
      <c r="A26" s="585">
        <v>24</v>
      </c>
      <c r="B26" s="586" t="s">
        <v>157</v>
      </c>
      <c r="C26" s="587"/>
      <c r="D26" s="597" t="s">
        <v>143</v>
      </c>
      <c r="E26" s="590">
        <v>24</v>
      </c>
      <c r="F26" s="591" t="s">
        <v>160</v>
      </c>
      <c r="G26" s="592"/>
      <c r="H26" s="595" t="s">
        <v>143</v>
      </c>
      <c r="I26" s="585">
        <v>24</v>
      </c>
      <c r="J26" s="586" t="s">
        <v>158</v>
      </c>
      <c r="K26" s="587"/>
      <c r="L26" s="594"/>
      <c r="M26" s="585">
        <v>24</v>
      </c>
      <c r="N26" s="586" t="s">
        <v>159</v>
      </c>
      <c r="O26" s="587"/>
      <c r="P26" s="594" t="s">
        <v>143</v>
      </c>
      <c r="Q26" s="590">
        <v>24</v>
      </c>
      <c r="R26" s="591" t="s">
        <v>160</v>
      </c>
      <c r="S26" s="592" t="s">
        <v>131</v>
      </c>
      <c r="T26" s="593" t="s">
        <v>143</v>
      </c>
      <c r="U26" s="585">
        <v>24</v>
      </c>
      <c r="V26" s="586" t="s">
        <v>154</v>
      </c>
      <c r="W26" s="587"/>
      <c r="X26" s="594" t="s">
        <v>143</v>
      </c>
      <c r="Y26" s="590">
        <v>24</v>
      </c>
      <c r="Z26" s="591" t="s">
        <v>155</v>
      </c>
      <c r="AA26" s="592"/>
      <c r="AB26" s="595" t="s">
        <v>143</v>
      </c>
      <c r="AC26" s="590">
        <v>24</v>
      </c>
      <c r="AD26" s="591" t="s">
        <v>160</v>
      </c>
      <c r="AE26" s="592" t="s">
        <v>179</v>
      </c>
      <c r="AF26" s="593" t="s">
        <v>143</v>
      </c>
      <c r="AG26" s="585">
        <v>24</v>
      </c>
      <c r="AH26" s="586" t="s">
        <v>154</v>
      </c>
      <c r="AI26" s="587"/>
      <c r="AJ26" s="589"/>
      <c r="AK26" s="585">
        <v>24</v>
      </c>
      <c r="AL26" s="586" t="s">
        <v>159</v>
      </c>
      <c r="AM26" s="587"/>
      <c r="AN26" s="594" t="s">
        <v>143</v>
      </c>
      <c r="AO26" s="585">
        <v>24</v>
      </c>
      <c r="AP26" s="586" t="s">
        <v>156</v>
      </c>
      <c r="AQ26" s="587"/>
      <c r="AR26" s="589">
        <v>26</v>
      </c>
      <c r="AS26" s="585">
        <v>24</v>
      </c>
      <c r="AT26" s="586" t="s">
        <v>154</v>
      </c>
      <c r="AU26" s="587"/>
      <c r="AV26" s="594"/>
    </row>
    <row r="27" spans="1:48">
      <c r="A27" s="585">
        <v>25</v>
      </c>
      <c r="B27" s="586" t="s">
        <v>159</v>
      </c>
      <c r="C27" s="587"/>
      <c r="D27" s="597" t="s">
        <v>143</v>
      </c>
      <c r="E27" s="585">
        <v>25</v>
      </c>
      <c r="F27" s="586" t="s">
        <v>156</v>
      </c>
      <c r="G27" s="587"/>
      <c r="H27" s="589">
        <v>39</v>
      </c>
      <c r="I27" s="585">
        <v>25</v>
      </c>
      <c r="J27" s="586" t="s">
        <v>154</v>
      </c>
      <c r="K27" s="587"/>
      <c r="L27" s="594" t="s">
        <v>143</v>
      </c>
      <c r="M27" s="590">
        <v>25</v>
      </c>
      <c r="N27" s="591" t="s">
        <v>155</v>
      </c>
      <c r="O27" s="592"/>
      <c r="P27" s="593" t="s">
        <v>143</v>
      </c>
      <c r="Q27" s="590">
        <v>25</v>
      </c>
      <c r="R27" s="591" t="s">
        <v>156</v>
      </c>
      <c r="S27" s="592" t="s">
        <v>324</v>
      </c>
      <c r="T27" s="593">
        <v>52</v>
      </c>
      <c r="U27" s="585">
        <v>25</v>
      </c>
      <c r="V27" s="586" t="s">
        <v>157</v>
      </c>
      <c r="W27" s="587"/>
      <c r="X27" s="594" t="s">
        <v>143</v>
      </c>
      <c r="Y27" s="590">
        <v>25</v>
      </c>
      <c r="Z27" s="591" t="s">
        <v>160</v>
      </c>
      <c r="AA27" s="592"/>
      <c r="AB27" s="595" t="s">
        <v>143</v>
      </c>
      <c r="AC27" s="585">
        <v>25</v>
      </c>
      <c r="AD27" s="586" t="s">
        <v>156</v>
      </c>
      <c r="AE27" s="587"/>
      <c r="AF27" s="594">
        <v>13</v>
      </c>
      <c r="AG27" s="585">
        <v>25</v>
      </c>
      <c r="AH27" s="586" t="s">
        <v>157</v>
      </c>
      <c r="AI27" s="587"/>
      <c r="AJ27" s="589" t="s">
        <v>143</v>
      </c>
      <c r="AK27" s="590">
        <v>25</v>
      </c>
      <c r="AL27" s="591" t="s">
        <v>155</v>
      </c>
      <c r="AM27" s="592"/>
      <c r="AN27" s="593" t="s">
        <v>143</v>
      </c>
      <c r="AO27" s="585">
        <v>25</v>
      </c>
      <c r="AP27" s="586" t="s">
        <v>158</v>
      </c>
      <c r="AQ27" s="587"/>
      <c r="AR27" s="589" t="s">
        <v>143</v>
      </c>
      <c r="AS27" s="585">
        <v>25</v>
      </c>
      <c r="AT27" s="586" t="s">
        <v>157</v>
      </c>
      <c r="AU27" s="587"/>
      <c r="AV27" s="594" t="s">
        <v>143</v>
      </c>
    </row>
    <row r="28" spans="1:48">
      <c r="A28" s="590">
        <v>26</v>
      </c>
      <c r="B28" s="591" t="s">
        <v>155</v>
      </c>
      <c r="C28" s="592"/>
      <c r="D28" s="596" t="s">
        <v>143</v>
      </c>
      <c r="E28" s="585">
        <v>26</v>
      </c>
      <c r="F28" s="586" t="s">
        <v>158</v>
      </c>
      <c r="G28" s="587"/>
      <c r="H28" s="589"/>
      <c r="I28" s="585">
        <v>26</v>
      </c>
      <c r="J28" s="586" t="s">
        <v>157</v>
      </c>
      <c r="K28" s="587"/>
      <c r="L28" s="594" t="s">
        <v>143</v>
      </c>
      <c r="M28" s="590">
        <v>26</v>
      </c>
      <c r="N28" s="591" t="s">
        <v>160</v>
      </c>
      <c r="O28" s="592"/>
      <c r="P28" s="593" t="s">
        <v>143</v>
      </c>
      <c r="Q28" s="590">
        <v>26</v>
      </c>
      <c r="R28" s="591" t="s">
        <v>158</v>
      </c>
      <c r="S28" s="592" t="s">
        <v>98</v>
      </c>
      <c r="T28" s="593"/>
      <c r="U28" s="585">
        <v>26</v>
      </c>
      <c r="V28" s="586" t="s">
        <v>159</v>
      </c>
      <c r="W28" s="587"/>
      <c r="X28" s="594" t="s">
        <v>143</v>
      </c>
      <c r="Y28" s="585">
        <v>26</v>
      </c>
      <c r="Z28" s="586" t="s">
        <v>156</v>
      </c>
      <c r="AA28" s="587"/>
      <c r="AB28" s="589">
        <v>9</v>
      </c>
      <c r="AC28" s="585">
        <v>26</v>
      </c>
      <c r="AD28" s="586" t="s">
        <v>158</v>
      </c>
      <c r="AE28" s="587"/>
      <c r="AF28" s="594" t="s">
        <v>143</v>
      </c>
      <c r="AG28" s="585">
        <v>26</v>
      </c>
      <c r="AH28" s="586" t="s">
        <v>159</v>
      </c>
      <c r="AI28" s="587"/>
      <c r="AJ28" s="589" t="s">
        <v>143</v>
      </c>
      <c r="AK28" s="590">
        <v>26</v>
      </c>
      <c r="AL28" s="591" t="s">
        <v>160</v>
      </c>
      <c r="AM28" s="592"/>
      <c r="AN28" s="593" t="s">
        <v>143</v>
      </c>
      <c r="AO28" s="585">
        <v>26</v>
      </c>
      <c r="AP28" s="586" t="s">
        <v>154</v>
      </c>
      <c r="AQ28" s="587"/>
      <c r="AR28" s="589"/>
      <c r="AS28" s="585">
        <v>26</v>
      </c>
      <c r="AT28" s="586" t="s">
        <v>159</v>
      </c>
      <c r="AU28" s="587"/>
      <c r="AV28" s="594" t="s">
        <v>143</v>
      </c>
    </row>
    <row r="29" spans="1:48">
      <c r="A29" s="590">
        <v>27</v>
      </c>
      <c r="B29" s="591" t="s">
        <v>160</v>
      </c>
      <c r="C29" s="592"/>
      <c r="D29" s="596" t="s">
        <v>143</v>
      </c>
      <c r="E29" s="585">
        <v>27</v>
      </c>
      <c r="F29" s="586" t="s">
        <v>154</v>
      </c>
      <c r="G29" s="587"/>
      <c r="H29" s="589" t="s">
        <v>143</v>
      </c>
      <c r="I29" s="585">
        <v>27</v>
      </c>
      <c r="J29" s="586" t="s">
        <v>159</v>
      </c>
      <c r="K29" s="587"/>
      <c r="L29" s="594" t="s">
        <v>143</v>
      </c>
      <c r="M29" s="585">
        <v>27</v>
      </c>
      <c r="N29" s="586" t="s">
        <v>156</v>
      </c>
      <c r="O29" s="587"/>
      <c r="P29" s="594">
        <v>48</v>
      </c>
      <c r="Q29" s="585">
        <v>27</v>
      </c>
      <c r="R29" s="586" t="s">
        <v>154</v>
      </c>
      <c r="S29" s="587"/>
      <c r="T29" s="594" t="s">
        <v>143</v>
      </c>
      <c r="U29" s="590">
        <v>27</v>
      </c>
      <c r="V29" s="591" t="s">
        <v>155</v>
      </c>
      <c r="W29" s="592"/>
      <c r="X29" s="593" t="s">
        <v>143</v>
      </c>
      <c r="Y29" s="585">
        <v>27</v>
      </c>
      <c r="Z29" s="586" t="s">
        <v>158</v>
      </c>
      <c r="AA29" s="587"/>
      <c r="AB29" s="589"/>
      <c r="AC29" s="585">
        <v>27</v>
      </c>
      <c r="AD29" s="586" t="s">
        <v>154</v>
      </c>
      <c r="AE29" s="587"/>
      <c r="AF29" s="594"/>
      <c r="AG29" s="590">
        <v>27</v>
      </c>
      <c r="AH29" s="591" t="s">
        <v>155</v>
      </c>
      <c r="AI29" s="592"/>
      <c r="AJ29" s="595" t="s">
        <v>143</v>
      </c>
      <c r="AK29" s="585">
        <v>27</v>
      </c>
      <c r="AL29" s="586" t="s">
        <v>156</v>
      </c>
      <c r="AM29" s="587"/>
      <c r="AN29" s="594">
        <v>22</v>
      </c>
      <c r="AO29" s="585">
        <v>27</v>
      </c>
      <c r="AP29" s="586" t="s">
        <v>157</v>
      </c>
      <c r="AQ29" s="587"/>
      <c r="AR29" s="589" t="s">
        <v>143</v>
      </c>
      <c r="AS29" s="590">
        <v>27</v>
      </c>
      <c r="AT29" s="591" t="s">
        <v>155</v>
      </c>
      <c r="AU29" s="592"/>
      <c r="AV29" s="593" t="s">
        <v>143</v>
      </c>
    </row>
    <row r="30" spans="1:48">
      <c r="A30" s="585">
        <v>28</v>
      </c>
      <c r="B30" s="586" t="s">
        <v>156</v>
      </c>
      <c r="C30" s="587"/>
      <c r="D30" s="597">
        <v>35</v>
      </c>
      <c r="E30" s="585">
        <v>28</v>
      </c>
      <c r="F30" s="586" t="s">
        <v>157</v>
      </c>
      <c r="G30" s="587"/>
      <c r="H30" s="589" t="s">
        <v>143</v>
      </c>
      <c r="I30" s="590">
        <v>28</v>
      </c>
      <c r="J30" s="591" t="s">
        <v>155</v>
      </c>
      <c r="K30" s="592"/>
      <c r="L30" s="593" t="s">
        <v>143</v>
      </c>
      <c r="M30" s="585">
        <v>28</v>
      </c>
      <c r="N30" s="586" t="s">
        <v>158</v>
      </c>
      <c r="O30" s="587"/>
      <c r="P30" s="594"/>
      <c r="Q30" s="585">
        <v>28</v>
      </c>
      <c r="R30" s="586" t="s">
        <v>157</v>
      </c>
      <c r="S30" s="587"/>
      <c r="T30" s="594" t="s">
        <v>143</v>
      </c>
      <c r="U30" s="590">
        <v>28</v>
      </c>
      <c r="V30" s="591" t="s">
        <v>160</v>
      </c>
      <c r="W30" s="592"/>
      <c r="X30" s="593" t="s">
        <v>143</v>
      </c>
      <c r="Y30" s="585">
        <v>28</v>
      </c>
      <c r="Z30" s="586" t="s">
        <v>154</v>
      </c>
      <c r="AA30" s="587"/>
      <c r="AB30" s="594" t="s">
        <v>143</v>
      </c>
      <c r="AC30" s="590">
        <v>28</v>
      </c>
      <c r="AD30" s="591" t="s">
        <v>157</v>
      </c>
      <c r="AE30" s="592" t="s">
        <v>106</v>
      </c>
      <c r="AF30" s="593" t="s">
        <v>143</v>
      </c>
      <c r="AG30" s="590">
        <v>28</v>
      </c>
      <c r="AH30" s="591" t="s">
        <v>160</v>
      </c>
      <c r="AI30" s="592"/>
      <c r="AJ30" s="595" t="s">
        <v>143</v>
      </c>
      <c r="AK30" s="585">
        <v>28</v>
      </c>
      <c r="AL30" s="586" t="s">
        <v>158</v>
      </c>
      <c r="AM30" s="587"/>
      <c r="AN30" s="594" t="s">
        <v>143</v>
      </c>
      <c r="AO30" s="585">
        <v>28</v>
      </c>
      <c r="AP30" s="586" t="s">
        <v>159</v>
      </c>
      <c r="AQ30" s="587"/>
      <c r="AR30" s="589" t="s">
        <v>143</v>
      </c>
      <c r="AS30" s="590">
        <v>28</v>
      </c>
      <c r="AT30" s="591" t="s">
        <v>160</v>
      </c>
      <c r="AU30" s="592"/>
      <c r="AV30" s="593" t="s">
        <v>143</v>
      </c>
    </row>
    <row r="31" spans="1:48">
      <c r="A31" s="585">
        <v>29</v>
      </c>
      <c r="B31" s="586" t="s">
        <v>158</v>
      </c>
      <c r="C31" s="587"/>
      <c r="D31" s="588"/>
      <c r="E31" s="585">
        <v>29</v>
      </c>
      <c r="F31" s="586" t="s">
        <v>159</v>
      </c>
      <c r="G31" s="587"/>
      <c r="H31" s="589" t="s">
        <v>143</v>
      </c>
      <c r="I31" s="590">
        <v>29</v>
      </c>
      <c r="J31" s="591" t="s">
        <v>160</v>
      </c>
      <c r="K31" s="592"/>
      <c r="L31" s="593" t="s">
        <v>143</v>
      </c>
      <c r="M31" s="585">
        <v>29</v>
      </c>
      <c r="N31" s="586" t="s">
        <v>154</v>
      </c>
      <c r="O31" s="587"/>
      <c r="P31" s="594" t="s">
        <v>143</v>
      </c>
      <c r="Q31" s="585">
        <v>29</v>
      </c>
      <c r="R31" s="586" t="s">
        <v>159</v>
      </c>
      <c r="S31" s="587"/>
      <c r="T31" s="594" t="s">
        <v>143</v>
      </c>
      <c r="U31" s="585">
        <v>29</v>
      </c>
      <c r="V31" s="586" t="s">
        <v>156</v>
      </c>
      <c r="W31" s="587"/>
      <c r="X31" s="594">
        <v>5</v>
      </c>
      <c r="Y31" s="585">
        <v>29</v>
      </c>
      <c r="Z31" s="586" t="s">
        <v>157</v>
      </c>
      <c r="AA31" s="587"/>
      <c r="AB31" s="594"/>
      <c r="AC31" s="590">
        <v>29</v>
      </c>
      <c r="AD31" s="591" t="s">
        <v>159</v>
      </c>
      <c r="AE31" s="592" t="s">
        <v>168</v>
      </c>
      <c r="AF31" s="593" t="s">
        <v>143</v>
      </c>
      <c r="AG31" s="585">
        <v>29</v>
      </c>
      <c r="AH31" s="586" t="s">
        <v>156</v>
      </c>
      <c r="AI31" s="587"/>
      <c r="AJ31" s="589">
        <v>18</v>
      </c>
      <c r="AK31" s="585">
        <v>29</v>
      </c>
      <c r="AL31" s="586" t="s">
        <v>154</v>
      </c>
      <c r="AM31" s="587"/>
      <c r="AN31" s="594"/>
      <c r="AO31" s="590">
        <v>29</v>
      </c>
      <c r="AP31" s="591" t="s">
        <v>155</v>
      </c>
      <c r="AQ31" s="592"/>
      <c r="AR31" s="595" t="s">
        <v>143</v>
      </c>
      <c r="AS31" s="585">
        <v>29</v>
      </c>
      <c r="AT31" s="586" t="s">
        <v>156</v>
      </c>
      <c r="AU31" s="587"/>
      <c r="AV31" s="594">
        <v>31</v>
      </c>
    </row>
    <row r="32" spans="1:48">
      <c r="A32" s="585">
        <v>30</v>
      </c>
      <c r="B32" s="586" t="s">
        <v>154</v>
      </c>
      <c r="C32" s="587"/>
      <c r="D32" s="588" t="s">
        <v>143</v>
      </c>
      <c r="E32" s="590">
        <v>30</v>
      </c>
      <c r="F32" s="591" t="s">
        <v>155</v>
      </c>
      <c r="G32" s="592"/>
      <c r="H32" s="595" t="s">
        <v>143</v>
      </c>
      <c r="I32" s="585">
        <v>30</v>
      </c>
      <c r="J32" s="586" t="s">
        <v>156</v>
      </c>
      <c r="K32" s="587"/>
      <c r="L32" s="594">
        <v>44</v>
      </c>
      <c r="M32" s="585">
        <v>30</v>
      </c>
      <c r="N32" s="586" t="s">
        <v>157</v>
      </c>
      <c r="O32" s="587"/>
      <c r="P32" s="594" t="s">
        <v>143</v>
      </c>
      <c r="Q32" s="590">
        <v>30</v>
      </c>
      <c r="R32" s="591" t="s">
        <v>155</v>
      </c>
      <c r="S32" s="592"/>
      <c r="T32" s="593"/>
      <c r="U32" s="585">
        <v>30</v>
      </c>
      <c r="V32" s="586" t="s">
        <v>158</v>
      </c>
      <c r="W32" s="587"/>
      <c r="X32" s="594"/>
      <c r="Y32" s="201"/>
      <c r="Z32" s="202"/>
      <c r="AA32" s="203"/>
      <c r="AB32" s="212"/>
      <c r="AC32" s="590">
        <v>30</v>
      </c>
      <c r="AD32" s="591" t="s">
        <v>155</v>
      </c>
      <c r="AE32" s="592"/>
      <c r="AF32" s="593" t="s">
        <v>143</v>
      </c>
      <c r="AG32" s="585">
        <v>30</v>
      </c>
      <c r="AH32" s="586" t="s">
        <v>158</v>
      </c>
      <c r="AI32" s="587"/>
      <c r="AJ32" s="589" t="s">
        <v>143</v>
      </c>
      <c r="AK32" s="585">
        <v>30</v>
      </c>
      <c r="AL32" s="586" t="s">
        <v>157</v>
      </c>
      <c r="AM32" s="587"/>
      <c r="AN32" s="594" t="s">
        <v>143</v>
      </c>
      <c r="AO32" s="590">
        <v>30</v>
      </c>
      <c r="AP32" s="591" t="s">
        <v>160</v>
      </c>
      <c r="AQ32" s="592"/>
      <c r="AR32" s="595" t="s">
        <v>143</v>
      </c>
      <c r="AS32" s="585">
        <v>30</v>
      </c>
      <c r="AT32" s="586" t="s">
        <v>158</v>
      </c>
      <c r="AU32" s="587"/>
      <c r="AV32" s="594" t="s">
        <v>143</v>
      </c>
    </row>
    <row r="33" spans="1:48">
      <c r="A33" s="585">
        <v>31</v>
      </c>
      <c r="B33" s="586" t="s">
        <v>157</v>
      </c>
      <c r="C33" s="587"/>
      <c r="D33" s="588" t="s">
        <v>143</v>
      </c>
      <c r="E33" s="208"/>
      <c r="F33" s="209"/>
      <c r="G33" s="210"/>
      <c r="H33" s="599"/>
      <c r="I33" s="600">
        <v>31</v>
      </c>
      <c r="J33" s="601" t="s">
        <v>158</v>
      </c>
      <c r="K33" s="602"/>
      <c r="L33" s="603"/>
      <c r="M33" s="208"/>
      <c r="N33" s="209"/>
      <c r="O33" s="210"/>
      <c r="P33" s="211"/>
      <c r="Q33" s="604">
        <v>31</v>
      </c>
      <c r="R33" s="605" t="s">
        <v>160</v>
      </c>
      <c r="S33" s="606" t="s">
        <v>130</v>
      </c>
      <c r="T33" s="607" t="s">
        <v>143</v>
      </c>
      <c r="U33" s="600">
        <v>31</v>
      </c>
      <c r="V33" s="601" t="s">
        <v>154</v>
      </c>
      <c r="W33" s="602"/>
      <c r="X33" s="603" t="s">
        <v>143</v>
      </c>
      <c r="Y33" s="208"/>
      <c r="Z33" s="209"/>
      <c r="AA33" s="210"/>
      <c r="AB33" s="211"/>
      <c r="AC33" s="604">
        <v>31</v>
      </c>
      <c r="AD33" s="605" t="s">
        <v>160</v>
      </c>
      <c r="AE33" s="608" t="s">
        <v>115</v>
      </c>
      <c r="AF33" s="607" t="s">
        <v>143</v>
      </c>
      <c r="AG33" s="208"/>
      <c r="AH33" s="209"/>
      <c r="AI33" s="210"/>
      <c r="AJ33" s="211"/>
      <c r="AK33" s="600">
        <v>31</v>
      </c>
      <c r="AL33" s="601" t="s">
        <v>159</v>
      </c>
      <c r="AM33" s="602"/>
      <c r="AN33" s="603" t="s">
        <v>143</v>
      </c>
      <c r="AO33" s="208"/>
      <c r="AP33" s="209"/>
      <c r="AQ33" s="210"/>
      <c r="AR33" s="211"/>
      <c r="AS33" s="600">
        <v>31</v>
      </c>
      <c r="AT33" s="601" t="s">
        <v>154</v>
      </c>
      <c r="AU33" s="602"/>
      <c r="AV33" s="603"/>
    </row>
  </sheetData>
  <mergeCells count="1">
    <mergeCell ref="AM20:AN20"/>
  </mergeCells>
  <pageMargins left="0.7" right="0.7" top="0.75" bottom="0.75" header="0.3" footer="0.3"/>
  <pageSetup paperSize="9" scale="50" orientation="landscape"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DCE33-CF5A-114E-AFD8-CF2B44D60937}">
  <sheetPr>
    <pageSetUpPr fitToPage="1"/>
  </sheetPr>
  <dimension ref="A1:X33"/>
  <sheetViews>
    <sheetView workbookViewId="0">
      <selection activeCell="A2" sqref="A2"/>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325" t="s">
        <v>546</v>
      </c>
      <c r="B1" s="1326"/>
      <c r="C1" s="1326"/>
      <c r="D1" s="1326"/>
      <c r="E1" s="1326"/>
      <c r="F1" s="1326"/>
      <c r="G1" s="1326"/>
      <c r="H1" s="1326"/>
      <c r="I1" s="1326"/>
      <c r="J1" s="1326"/>
      <c r="K1" s="1326"/>
      <c r="L1" s="1326"/>
      <c r="M1" s="1326"/>
      <c r="N1" s="1326"/>
      <c r="O1" s="1326"/>
      <c r="P1" s="1326"/>
      <c r="Q1" s="1326"/>
      <c r="R1" s="1326"/>
      <c r="S1" s="1326"/>
      <c r="T1" s="1326"/>
      <c r="U1" s="1326"/>
      <c r="V1" s="1326"/>
      <c r="W1" s="1326"/>
      <c r="X1" s="1327"/>
    </row>
    <row r="2" spans="1:24" ht="18">
      <c r="A2" s="322" t="s">
        <v>92</v>
      </c>
      <c r="B2" s="323"/>
      <c r="C2" s="324"/>
      <c r="D2" s="325"/>
      <c r="E2" s="322" t="s">
        <v>93</v>
      </c>
      <c r="F2" s="323"/>
      <c r="G2" s="324"/>
      <c r="H2" s="325"/>
      <c r="I2" s="326" t="s">
        <v>94</v>
      </c>
      <c r="J2" s="323"/>
      <c r="K2" s="324"/>
      <c r="L2" s="325"/>
      <c r="M2" s="322" t="s">
        <v>95</v>
      </c>
      <c r="N2" s="323"/>
      <c r="O2" s="324"/>
      <c r="P2" s="325"/>
      <c r="Q2" s="322" t="s">
        <v>96</v>
      </c>
      <c r="R2" s="323"/>
      <c r="S2" s="324"/>
      <c r="T2" s="325"/>
      <c r="U2" s="322" t="s">
        <v>97</v>
      </c>
      <c r="V2" s="323"/>
      <c r="W2" s="324"/>
      <c r="X2" s="325"/>
    </row>
    <row r="3" spans="1:24">
      <c r="A3" s="585">
        <v>1</v>
      </c>
      <c r="B3" s="586" t="s">
        <v>158</v>
      </c>
      <c r="C3" s="587"/>
      <c r="D3" s="588">
        <v>31.285714285714285</v>
      </c>
      <c r="E3" s="585">
        <v>1</v>
      </c>
      <c r="F3" s="586" t="s">
        <v>159</v>
      </c>
      <c r="G3" s="587"/>
      <c r="H3" s="589" t="s">
        <v>143</v>
      </c>
      <c r="I3" s="590">
        <v>1</v>
      </c>
      <c r="J3" s="591" t="s">
        <v>160</v>
      </c>
      <c r="K3" s="592"/>
      <c r="L3" s="593" t="s">
        <v>143</v>
      </c>
      <c r="M3" s="585">
        <v>1</v>
      </c>
      <c r="N3" s="586" t="s">
        <v>154</v>
      </c>
      <c r="O3" s="587"/>
      <c r="P3" s="594" t="s">
        <v>143</v>
      </c>
      <c r="Q3" s="585">
        <v>1</v>
      </c>
      <c r="R3" s="586" t="s">
        <v>159</v>
      </c>
      <c r="S3" s="587"/>
      <c r="T3" s="594" t="s">
        <v>143</v>
      </c>
      <c r="U3" s="590">
        <v>1</v>
      </c>
      <c r="V3" s="591" t="s">
        <v>156</v>
      </c>
      <c r="W3" s="592" t="s">
        <v>142</v>
      </c>
      <c r="X3" s="593">
        <v>1</v>
      </c>
    </row>
    <row r="4" spans="1:24">
      <c r="A4" s="585">
        <v>2</v>
      </c>
      <c r="B4" s="586" t="s">
        <v>154</v>
      </c>
      <c r="C4" s="587"/>
      <c r="D4" s="588" t="s">
        <v>143</v>
      </c>
      <c r="E4" s="590">
        <v>2</v>
      </c>
      <c r="F4" s="591" t="s">
        <v>155</v>
      </c>
      <c r="G4" s="592"/>
      <c r="H4" s="595" t="s">
        <v>143</v>
      </c>
      <c r="I4" s="585">
        <v>2</v>
      </c>
      <c r="J4" s="586" t="s">
        <v>156</v>
      </c>
      <c r="K4" s="587"/>
      <c r="L4" s="594">
        <v>40</v>
      </c>
      <c r="M4" s="585">
        <v>2</v>
      </c>
      <c r="N4" s="586" t="s">
        <v>157</v>
      </c>
      <c r="O4" s="587"/>
      <c r="P4" s="594" t="s">
        <v>143</v>
      </c>
      <c r="Q4" s="590">
        <v>2</v>
      </c>
      <c r="R4" s="591" t="s">
        <v>155</v>
      </c>
      <c r="S4" s="592"/>
      <c r="T4" s="593" t="s">
        <v>143</v>
      </c>
      <c r="U4" s="585">
        <v>2</v>
      </c>
      <c r="V4" s="586" t="s">
        <v>158</v>
      </c>
      <c r="W4" s="587"/>
      <c r="X4" s="594"/>
    </row>
    <row r="5" spans="1:24">
      <c r="A5" s="585">
        <v>3</v>
      </c>
      <c r="B5" s="586" t="s">
        <v>157</v>
      </c>
      <c r="C5" s="587"/>
      <c r="D5" s="588" t="s">
        <v>143</v>
      </c>
      <c r="E5" s="590">
        <v>3</v>
      </c>
      <c r="F5" s="591" t="s">
        <v>160</v>
      </c>
      <c r="G5" s="592"/>
      <c r="H5" s="595" t="s">
        <v>143</v>
      </c>
      <c r="I5" s="585">
        <v>3</v>
      </c>
      <c r="J5" s="586" t="s">
        <v>158</v>
      </c>
      <c r="K5" s="587"/>
      <c r="L5" s="594"/>
      <c r="M5" s="585">
        <v>3</v>
      </c>
      <c r="N5" s="586" t="s">
        <v>159</v>
      </c>
      <c r="O5" s="587"/>
      <c r="P5" s="594" t="s">
        <v>143</v>
      </c>
      <c r="Q5" s="590">
        <v>3</v>
      </c>
      <c r="R5" s="591" t="s">
        <v>160</v>
      </c>
      <c r="S5" s="592"/>
      <c r="T5" s="593" t="s">
        <v>143</v>
      </c>
      <c r="U5" s="585">
        <v>3</v>
      </c>
      <c r="V5" s="586" t="s">
        <v>154</v>
      </c>
      <c r="W5" s="587"/>
      <c r="X5" s="594" t="s">
        <v>143</v>
      </c>
    </row>
    <row r="6" spans="1:24">
      <c r="A6" s="585">
        <v>4</v>
      </c>
      <c r="B6" s="586" t="s">
        <v>159</v>
      </c>
      <c r="C6" s="587"/>
      <c r="D6" s="588" t="s">
        <v>143</v>
      </c>
      <c r="E6" s="585">
        <v>4</v>
      </c>
      <c r="F6" s="586" t="s">
        <v>156</v>
      </c>
      <c r="G6" s="587"/>
      <c r="H6" s="589">
        <v>36</v>
      </c>
      <c r="I6" s="585">
        <v>4</v>
      </c>
      <c r="J6" s="586" t="s">
        <v>154</v>
      </c>
      <c r="K6" s="587"/>
      <c r="L6" s="594" t="s">
        <v>143</v>
      </c>
      <c r="M6" s="590">
        <v>4</v>
      </c>
      <c r="N6" s="591" t="s">
        <v>155</v>
      </c>
      <c r="O6" s="592"/>
      <c r="P6" s="593" t="s">
        <v>143</v>
      </c>
      <c r="Q6" s="585">
        <v>4</v>
      </c>
      <c r="R6" s="586" t="s">
        <v>156</v>
      </c>
      <c r="S6" s="587"/>
      <c r="T6" s="594">
        <v>49</v>
      </c>
      <c r="U6" s="585">
        <v>4</v>
      </c>
      <c r="V6" s="586" t="s">
        <v>157</v>
      </c>
      <c r="W6" s="587"/>
      <c r="X6" s="594" t="s">
        <v>143</v>
      </c>
    </row>
    <row r="7" spans="1:24">
      <c r="A7" s="590">
        <v>5</v>
      </c>
      <c r="B7" s="591" t="s">
        <v>155</v>
      </c>
      <c r="C7" s="592"/>
      <c r="D7" s="596" t="s">
        <v>143</v>
      </c>
      <c r="E7" s="585">
        <v>5</v>
      </c>
      <c r="F7" s="586" t="s">
        <v>158</v>
      </c>
      <c r="G7" s="587"/>
      <c r="H7" s="589"/>
      <c r="I7" s="585">
        <v>5</v>
      </c>
      <c r="J7" s="586" t="s">
        <v>157</v>
      </c>
      <c r="K7" s="587"/>
      <c r="L7" s="594" t="s">
        <v>143</v>
      </c>
      <c r="M7" s="590">
        <v>5</v>
      </c>
      <c r="N7" s="591" t="s">
        <v>160</v>
      </c>
      <c r="O7" s="592"/>
      <c r="P7" s="593" t="s">
        <v>143</v>
      </c>
      <c r="Q7" s="585">
        <v>5</v>
      </c>
      <c r="R7" s="586" t="s">
        <v>158</v>
      </c>
      <c r="S7" s="587"/>
      <c r="T7" s="594"/>
      <c r="U7" s="585">
        <v>5</v>
      </c>
      <c r="V7" s="586" t="s">
        <v>159</v>
      </c>
      <c r="W7" s="587"/>
      <c r="X7" s="594" t="s">
        <v>143</v>
      </c>
    </row>
    <row r="8" spans="1:24">
      <c r="A8" s="590">
        <v>6</v>
      </c>
      <c r="B8" s="591" t="s">
        <v>160</v>
      </c>
      <c r="C8" s="592"/>
      <c r="D8" s="596" t="s">
        <v>143</v>
      </c>
      <c r="E8" s="585">
        <v>6</v>
      </c>
      <c r="F8" s="586" t="s">
        <v>154</v>
      </c>
      <c r="G8" s="587"/>
      <c r="H8" s="589" t="s">
        <v>143</v>
      </c>
      <c r="I8" s="585">
        <v>6</v>
      </c>
      <c r="J8" s="586" t="s">
        <v>159</v>
      </c>
      <c r="K8" s="587"/>
      <c r="L8" s="594" t="s">
        <v>143</v>
      </c>
      <c r="M8" s="585">
        <v>6</v>
      </c>
      <c r="N8" s="586" t="s">
        <v>156</v>
      </c>
      <c r="O8" s="587"/>
      <c r="P8" s="594">
        <v>45</v>
      </c>
      <c r="Q8" s="585">
        <v>6</v>
      </c>
      <c r="R8" s="586" t="s">
        <v>154</v>
      </c>
      <c r="S8" s="587"/>
      <c r="T8" s="594" t="s">
        <v>143</v>
      </c>
      <c r="U8" s="590">
        <v>6</v>
      </c>
      <c r="V8" s="591" t="s">
        <v>155</v>
      </c>
      <c r="W8" s="592"/>
      <c r="X8" s="593" t="s">
        <v>143</v>
      </c>
    </row>
    <row r="9" spans="1:24">
      <c r="A9" s="585">
        <v>7</v>
      </c>
      <c r="B9" s="586" t="s">
        <v>156</v>
      </c>
      <c r="C9" s="587"/>
      <c r="D9" s="597">
        <v>32</v>
      </c>
      <c r="E9" s="585">
        <v>7</v>
      </c>
      <c r="F9" s="586" t="s">
        <v>157</v>
      </c>
      <c r="G9" s="587"/>
      <c r="H9" s="589" t="s">
        <v>143</v>
      </c>
      <c r="I9" s="590">
        <v>7</v>
      </c>
      <c r="J9" s="591" t="s">
        <v>155</v>
      </c>
      <c r="K9" s="592"/>
      <c r="L9" s="593" t="s">
        <v>143</v>
      </c>
      <c r="M9" s="585">
        <v>7</v>
      </c>
      <c r="N9" s="586" t="s">
        <v>158</v>
      </c>
      <c r="O9" s="587"/>
      <c r="P9" s="594"/>
      <c r="Q9" s="585">
        <v>7</v>
      </c>
      <c r="R9" s="586" t="s">
        <v>157</v>
      </c>
      <c r="S9" s="587"/>
      <c r="T9" s="594" t="s">
        <v>143</v>
      </c>
      <c r="U9" s="590">
        <v>7</v>
      </c>
      <c r="V9" s="591" t="s">
        <v>160</v>
      </c>
      <c r="W9" s="592"/>
      <c r="X9" s="593" t="s">
        <v>143</v>
      </c>
    </row>
    <row r="10" spans="1:24">
      <c r="A10" s="585">
        <v>8</v>
      </c>
      <c r="B10" s="586" t="s">
        <v>158</v>
      </c>
      <c r="C10" s="587"/>
      <c r="D10" s="588"/>
      <c r="E10" s="585">
        <v>8</v>
      </c>
      <c r="F10" s="586" t="s">
        <v>159</v>
      </c>
      <c r="G10" s="587"/>
      <c r="H10" s="589" t="s">
        <v>143</v>
      </c>
      <c r="I10" s="590">
        <v>8</v>
      </c>
      <c r="J10" s="591" t="s">
        <v>160</v>
      </c>
      <c r="K10" s="592"/>
      <c r="L10" s="593" t="s">
        <v>143</v>
      </c>
      <c r="M10" s="585">
        <v>8</v>
      </c>
      <c r="N10" s="586" t="s">
        <v>154</v>
      </c>
      <c r="O10" s="587"/>
      <c r="P10" s="594" t="s">
        <v>143</v>
      </c>
      <c r="Q10" s="585">
        <v>8</v>
      </c>
      <c r="R10" s="586" t="s">
        <v>159</v>
      </c>
      <c r="S10" s="587"/>
      <c r="T10" s="594" t="s">
        <v>143</v>
      </c>
      <c r="U10" s="585">
        <v>8</v>
      </c>
      <c r="V10" s="586" t="s">
        <v>156</v>
      </c>
      <c r="W10" s="587"/>
      <c r="X10" s="594">
        <v>2</v>
      </c>
    </row>
    <row r="11" spans="1:24">
      <c r="A11" s="585">
        <v>9</v>
      </c>
      <c r="B11" s="586" t="s">
        <v>154</v>
      </c>
      <c r="C11" s="587"/>
      <c r="D11" s="588" t="s">
        <v>143</v>
      </c>
      <c r="E11" s="590">
        <v>9</v>
      </c>
      <c r="F11" s="591" t="s">
        <v>155</v>
      </c>
      <c r="G11" s="592"/>
      <c r="H11" s="595" t="s">
        <v>143</v>
      </c>
      <c r="I11" s="585">
        <v>9</v>
      </c>
      <c r="J11" s="586" t="s">
        <v>156</v>
      </c>
      <c r="K11" s="587"/>
      <c r="L11" s="594">
        <v>41</v>
      </c>
      <c r="M11" s="585">
        <v>9</v>
      </c>
      <c r="N11" s="586" t="s">
        <v>157</v>
      </c>
      <c r="O11" s="587"/>
      <c r="P11" s="594" t="s">
        <v>143</v>
      </c>
      <c r="Q11" s="590">
        <v>9</v>
      </c>
      <c r="R11" s="591" t="s">
        <v>155</v>
      </c>
      <c r="S11" s="592"/>
      <c r="T11" s="593" t="s">
        <v>143</v>
      </c>
      <c r="U11" s="585">
        <v>9</v>
      </c>
      <c r="V11" s="586" t="s">
        <v>158</v>
      </c>
      <c r="W11" s="587"/>
      <c r="X11" s="594"/>
    </row>
    <row r="12" spans="1:24">
      <c r="A12" s="585">
        <v>10</v>
      </c>
      <c r="B12" s="586" t="s">
        <v>157</v>
      </c>
      <c r="C12" s="587"/>
      <c r="D12" s="588" t="s">
        <v>143</v>
      </c>
      <c r="E12" s="590">
        <v>10</v>
      </c>
      <c r="F12" s="591" t="s">
        <v>160</v>
      </c>
      <c r="G12" s="592"/>
      <c r="H12" s="595" t="s">
        <v>143</v>
      </c>
      <c r="I12" s="585">
        <v>10</v>
      </c>
      <c r="J12" s="586" t="s">
        <v>158</v>
      </c>
      <c r="K12" s="587"/>
      <c r="L12" s="594"/>
      <c r="M12" s="585">
        <v>10</v>
      </c>
      <c r="N12" s="586" t="s">
        <v>159</v>
      </c>
      <c r="O12" s="587"/>
      <c r="P12" s="594" t="s">
        <v>143</v>
      </c>
      <c r="Q12" s="590">
        <v>10</v>
      </c>
      <c r="R12" s="591" t="s">
        <v>160</v>
      </c>
      <c r="S12" s="592"/>
      <c r="T12" s="593" t="s">
        <v>143</v>
      </c>
      <c r="U12" s="585">
        <v>10</v>
      </c>
      <c r="V12" s="586" t="s">
        <v>154</v>
      </c>
      <c r="W12" s="587"/>
      <c r="X12" s="594" t="s">
        <v>143</v>
      </c>
    </row>
    <row r="13" spans="1:24">
      <c r="A13" s="585">
        <v>11</v>
      </c>
      <c r="B13" s="586" t="s">
        <v>159</v>
      </c>
      <c r="C13" s="587"/>
      <c r="D13" s="588" t="s">
        <v>143</v>
      </c>
      <c r="E13" s="585">
        <v>11</v>
      </c>
      <c r="F13" s="586" t="s">
        <v>156</v>
      </c>
      <c r="G13" s="587"/>
      <c r="H13" s="589">
        <v>37</v>
      </c>
      <c r="I13" s="585">
        <v>11</v>
      </c>
      <c r="J13" s="586" t="s">
        <v>154</v>
      </c>
      <c r="K13" s="587"/>
      <c r="L13" s="594" t="s">
        <v>143</v>
      </c>
      <c r="M13" s="590">
        <v>11</v>
      </c>
      <c r="N13" s="591" t="s">
        <v>155</v>
      </c>
      <c r="O13" s="592"/>
      <c r="P13" s="593" t="s">
        <v>143</v>
      </c>
      <c r="Q13" s="585">
        <v>11</v>
      </c>
      <c r="R13" s="586" t="s">
        <v>156</v>
      </c>
      <c r="S13" s="587"/>
      <c r="T13" s="594">
        <v>50</v>
      </c>
      <c r="U13" s="585">
        <v>11</v>
      </c>
      <c r="V13" s="586" t="s">
        <v>157</v>
      </c>
      <c r="W13" s="587"/>
      <c r="X13" s="594" t="s">
        <v>143</v>
      </c>
    </row>
    <row r="14" spans="1:24">
      <c r="A14" s="590">
        <v>12</v>
      </c>
      <c r="B14" s="591" t="s">
        <v>155</v>
      </c>
      <c r="C14" s="592"/>
      <c r="D14" s="596" t="s">
        <v>143</v>
      </c>
      <c r="E14" s="585">
        <v>12</v>
      </c>
      <c r="F14" s="586" t="s">
        <v>158</v>
      </c>
      <c r="G14" s="587"/>
      <c r="H14" s="589"/>
      <c r="I14" s="585">
        <v>12</v>
      </c>
      <c r="J14" s="586" t="s">
        <v>157</v>
      </c>
      <c r="K14" s="587"/>
      <c r="L14" s="594" t="s">
        <v>143</v>
      </c>
      <c r="M14" s="590">
        <v>12</v>
      </c>
      <c r="N14" s="591" t="s">
        <v>160</v>
      </c>
      <c r="O14" s="592"/>
      <c r="P14" s="593" t="s">
        <v>143</v>
      </c>
      <c r="Q14" s="585">
        <v>12</v>
      </c>
      <c r="R14" s="586" t="s">
        <v>158</v>
      </c>
      <c r="S14" s="587"/>
      <c r="T14" s="594"/>
      <c r="U14" s="585">
        <v>12</v>
      </c>
      <c r="V14" s="586" t="s">
        <v>159</v>
      </c>
      <c r="W14" s="587"/>
      <c r="X14" s="594" t="s">
        <v>143</v>
      </c>
    </row>
    <row r="15" spans="1:24">
      <c r="A15" s="590">
        <v>13</v>
      </c>
      <c r="B15" s="591" t="s">
        <v>160</v>
      </c>
      <c r="C15" s="592"/>
      <c r="D15" s="596" t="s">
        <v>143</v>
      </c>
      <c r="E15" s="585">
        <v>13</v>
      </c>
      <c r="F15" s="586" t="s">
        <v>154</v>
      </c>
      <c r="G15" s="587"/>
      <c r="H15" s="589" t="s">
        <v>143</v>
      </c>
      <c r="I15" s="585">
        <v>13</v>
      </c>
      <c r="J15" s="586" t="s">
        <v>159</v>
      </c>
      <c r="K15" s="587"/>
      <c r="L15" s="594" t="s">
        <v>143</v>
      </c>
      <c r="M15" s="585">
        <v>13</v>
      </c>
      <c r="N15" s="586" t="s">
        <v>156</v>
      </c>
      <c r="O15" s="587"/>
      <c r="P15" s="594">
        <v>46</v>
      </c>
      <c r="Q15" s="585">
        <v>13</v>
      </c>
      <c r="R15" s="586" t="s">
        <v>154</v>
      </c>
      <c r="S15" s="587"/>
      <c r="T15" s="594" t="s">
        <v>143</v>
      </c>
      <c r="U15" s="590">
        <v>13</v>
      </c>
      <c r="V15" s="591" t="s">
        <v>155</v>
      </c>
      <c r="W15" s="592"/>
      <c r="X15" s="593" t="s">
        <v>143</v>
      </c>
    </row>
    <row r="16" spans="1:24">
      <c r="A16" s="585">
        <v>14</v>
      </c>
      <c r="B16" s="586" t="s">
        <v>156</v>
      </c>
      <c r="C16" s="587"/>
      <c r="D16" s="597">
        <v>33</v>
      </c>
      <c r="E16" s="585">
        <v>14</v>
      </c>
      <c r="F16" s="586" t="s">
        <v>157</v>
      </c>
      <c r="G16" s="587"/>
      <c r="H16" s="589" t="s">
        <v>143</v>
      </c>
      <c r="I16" s="590">
        <v>14</v>
      </c>
      <c r="J16" s="591" t="s">
        <v>155</v>
      </c>
      <c r="K16" s="592"/>
      <c r="L16" s="593" t="s">
        <v>143</v>
      </c>
      <c r="M16" s="585">
        <v>14</v>
      </c>
      <c r="N16" s="586" t="s">
        <v>158</v>
      </c>
      <c r="O16" s="587"/>
      <c r="P16" s="594"/>
      <c r="Q16" s="585">
        <v>14</v>
      </c>
      <c r="R16" s="586" t="s">
        <v>157</v>
      </c>
      <c r="S16" s="587"/>
      <c r="T16" s="594" t="s">
        <v>143</v>
      </c>
      <c r="U16" s="590">
        <v>14</v>
      </c>
      <c r="V16" s="591" t="s">
        <v>160</v>
      </c>
      <c r="W16" s="592"/>
      <c r="X16" s="593" t="s">
        <v>143</v>
      </c>
    </row>
    <row r="17" spans="1:24">
      <c r="A17" s="585">
        <v>15</v>
      </c>
      <c r="B17" s="586" t="s">
        <v>158</v>
      </c>
      <c r="C17" s="587"/>
      <c r="D17" s="588"/>
      <c r="E17" s="585">
        <v>15</v>
      </c>
      <c r="F17" s="586" t="s">
        <v>159</v>
      </c>
      <c r="G17" s="587"/>
      <c r="H17" s="589" t="s">
        <v>143</v>
      </c>
      <c r="I17" s="590">
        <v>15</v>
      </c>
      <c r="J17" s="591" t="s">
        <v>160</v>
      </c>
      <c r="K17" s="592"/>
      <c r="L17" s="593" t="s">
        <v>143</v>
      </c>
      <c r="M17" s="585">
        <v>15</v>
      </c>
      <c r="N17" s="586" t="s">
        <v>154</v>
      </c>
      <c r="O17" s="587"/>
      <c r="P17" s="594" t="s">
        <v>143</v>
      </c>
      <c r="Q17" s="585">
        <v>15</v>
      </c>
      <c r="R17" s="586" t="s">
        <v>159</v>
      </c>
      <c r="S17" s="587"/>
      <c r="T17" s="594" t="s">
        <v>143</v>
      </c>
      <c r="U17" s="585">
        <v>15</v>
      </c>
      <c r="V17" s="586" t="s">
        <v>156</v>
      </c>
      <c r="W17" s="587"/>
      <c r="X17" s="594">
        <v>3</v>
      </c>
    </row>
    <row r="18" spans="1:24">
      <c r="A18" s="585">
        <v>16</v>
      </c>
      <c r="B18" s="586" t="s">
        <v>154</v>
      </c>
      <c r="C18" s="587"/>
      <c r="D18" s="588" t="s">
        <v>143</v>
      </c>
      <c r="E18" s="590">
        <v>16</v>
      </c>
      <c r="F18" s="591" t="s">
        <v>155</v>
      </c>
      <c r="G18" s="592"/>
      <c r="H18" s="595" t="s">
        <v>143</v>
      </c>
      <c r="I18" s="585">
        <v>16</v>
      </c>
      <c r="J18" s="586" t="s">
        <v>156</v>
      </c>
      <c r="K18" s="587"/>
      <c r="L18" s="594">
        <v>42</v>
      </c>
      <c r="M18" s="585">
        <v>16</v>
      </c>
      <c r="N18" s="586" t="s">
        <v>157</v>
      </c>
      <c r="O18" s="587"/>
      <c r="P18" s="594" t="s">
        <v>143</v>
      </c>
      <c r="Q18" s="590">
        <v>16</v>
      </c>
      <c r="R18" s="591" t="s">
        <v>155</v>
      </c>
      <c r="S18" s="592"/>
      <c r="T18" s="593" t="s">
        <v>143</v>
      </c>
      <c r="U18" s="585">
        <v>16</v>
      </c>
      <c r="V18" s="586" t="s">
        <v>158</v>
      </c>
      <c r="W18" s="587"/>
      <c r="X18" s="594"/>
    </row>
    <row r="19" spans="1:24">
      <c r="A19" s="585">
        <v>17</v>
      </c>
      <c r="B19" s="586" t="s">
        <v>157</v>
      </c>
      <c r="C19" s="587"/>
      <c r="D19" s="588" t="s">
        <v>143</v>
      </c>
      <c r="E19" s="590">
        <v>17</v>
      </c>
      <c r="F19" s="591" t="s">
        <v>160</v>
      </c>
      <c r="G19" s="592"/>
      <c r="H19" s="595" t="s">
        <v>143</v>
      </c>
      <c r="I19" s="585">
        <v>17</v>
      </c>
      <c r="J19" s="586" t="s">
        <v>158</v>
      </c>
      <c r="K19" s="587"/>
      <c r="L19" s="594"/>
      <c r="M19" s="585">
        <v>17</v>
      </c>
      <c r="N19" s="586" t="s">
        <v>159</v>
      </c>
      <c r="O19" s="587"/>
      <c r="P19" s="594" t="s">
        <v>143</v>
      </c>
      <c r="Q19" s="590">
        <v>17</v>
      </c>
      <c r="R19" s="591" t="s">
        <v>160</v>
      </c>
      <c r="S19" s="592"/>
      <c r="T19" s="593" t="s">
        <v>143</v>
      </c>
      <c r="U19" s="585">
        <v>17</v>
      </c>
      <c r="V19" s="586" t="s">
        <v>154</v>
      </c>
      <c r="W19" s="587"/>
      <c r="X19" s="594" t="s">
        <v>143</v>
      </c>
    </row>
    <row r="20" spans="1:24">
      <c r="A20" s="585">
        <v>18</v>
      </c>
      <c r="B20" s="586" t="s">
        <v>159</v>
      </c>
      <c r="C20" s="587"/>
      <c r="D20" s="588" t="s">
        <v>143</v>
      </c>
      <c r="E20" s="585">
        <v>18</v>
      </c>
      <c r="F20" s="586" t="s">
        <v>156</v>
      </c>
      <c r="G20" s="587"/>
      <c r="H20" s="589">
        <v>38</v>
      </c>
      <c r="I20" s="585">
        <v>18</v>
      </c>
      <c r="J20" s="586" t="s">
        <v>154</v>
      </c>
      <c r="K20" s="587"/>
      <c r="L20" s="594" t="s">
        <v>143</v>
      </c>
      <c r="M20" s="590">
        <v>18</v>
      </c>
      <c r="N20" s="591" t="s">
        <v>155</v>
      </c>
      <c r="O20" s="592"/>
      <c r="P20" s="593" t="s">
        <v>143</v>
      </c>
      <c r="Q20" s="585">
        <v>18</v>
      </c>
      <c r="R20" s="586" t="s">
        <v>156</v>
      </c>
      <c r="S20" s="587"/>
      <c r="T20" s="594">
        <v>51</v>
      </c>
      <c r="U20" s="585">
        <v>18</v>
      </c>
      <c r="V20" s="586" t="s">
        <v>157</v>
      </c>
      <c r="W20" s="587"/>
      <c r="X20" s="594" t="s">
        <v>143</v>
      </c>
    </row>
    <row r="21" spans="1:24">
      <c r="A21" s="590">
        <v>19</v>
      </c>
      <c r="B21" s="591" t="s">
        <v>155</v>
      </c>
      <c r="C21" s="592"/>
      <c r="D21" s="596" t="s">
        <v>143</v>
      </c>
      <c r="E21" s="585">
        <v>19</v>
      </c>
      <c r="F21" s="586" t="s">
        <v>158</v>
      </c>
      <c r="G21" s="587"/>
      <c r="H21" s="589"/>
      <c r="I21" s="585">
        <v>19</v>
      </c>
      <c r="J21" s="586" t="s">
        <v>157</v>
      </c>
      <c r="K21" s="587"/>
      <c r="L21" s="594" t="s">
        <v>143</v>
      </c>
      <c r="M21" s="590">
        <v>19</v>
      </c>
      <c r="N21" s="591" t="s">
        <v>160</v>
      </c>
      <c r="O21" s="592"/>
      <c r="P21" s="593" t="s">
        <v>143</v>
      </c>
      <c r="Q21" s="585">
        <v>19</v>
      </c>
      <c r="R21" s="586" t="s">
        <v>158</v>
      </c>
      <c r="S21" s="587"/>
      <c r="T21" s="594"/>
      <c r="U21" s="585">
        <v>19</v>
      </c>
      <c r="V21" s="586" t="s">
        <v>159</v>
      </c>
      <c r="W21" s="587"/>
      <c r="X21" s="594" t="s">
        <v>143</v>
      </c>
    </row>
    <row r="22" spans="1:24">
      <c r="A22" s="590">
        <v>20</v>
      </c>
      <c r="B22" s="591" t="s">
        <v>160</v>
      </c>
      <c r="C22" s="592"/>
      <c r="D22" s="596" t="s">
        <v>143</v>
      </c>
      <c r="E22" s="585">
        <v>20</v>
      </c>
      <c r="F22" s="586" t="s">
        <v>154</v>
      </c>
      <c r="G22" s="587"/>
      <c r="H22" s="589" t="s">
        <v>143</v>
      </c>
      <c r="I22" s="585">
        <v>20</v>
      </c>
      <c r="J22" s="586" t="s">
        <v>159</v>
      </c>
      <c r="K22" s="587"/>
      <c r="L22" s="594" t="s">
        <v>143</v>
      </c>
      <c r="M22" s="585">
        <v>20</v>
      </c>
      <c r="N22" s="586" t="s">
        <v>156</v>
      </c>
      <c r="O22" s="587"/>
      <c r="P22" s="594">
        <v>47</v>
      </c>
      <c r="Q22" s="585">
        <v>20</v>
      </c>
      <c r="R22" s="586" t="s">
        <v>154</v>
      </c>
      <c r="S22" s="587"/>
      <c r="T22" s="594" t="s">
        <v>143</v>
      </c>
      <c r="U22" s="590">
        <v>20</v>
      </c>
      <c r="V22" s="591" t="s">
        <v>155</v>
      </c>
      <c r="W22" s="592"/>
      <c r="X22" s="593" t="s">
        <v>143</v>
      </c>
    </row>
    <row r="23" spans="1:24">
      <c r="A23" s="585">
        <v>21</v>
      </c>
      <c r="B23" s="586" t="s">
        <v>156</v>
      </c>
      <c r="C23" s="587"/>
      <c r="D23" s="597">
        <v>34</v>
      </c>
      <c r="E23" s="585">
        <v>21</v>
      </c>
      <c r="F23" s="586" t="s">
        <v>157</v>
      </c>
      <c r="G23" s="587"/>
      <c r="H23" s="589" t="s">
        <v>143</v>
      </c>
      <c r="I23" s="590">
        <v>21</v>
      </c>
      <c r="J23" s="591" t="s">
        <v>155</v>
      </c>
      <c r="K23" s="592"/>
      <c r="L23" s="593" t="s">
        <v>143</v>
      </c>
      <c r="M23" s="585">
        <v>21</v>
      </c>
      <c r="N23" s="586" t="s">
        <v>158</v>
      </c>
      <c r="O23" s="587"/>
      <c r="P23" s="594"/>
      <c r="Q23" s="585">
        <v>21</v>
      </c>
      <c r="R23" s="586" t="s">
        <v>157</v>
      </c>
      <c r="S23" s="587"/>
      <c r="T23" s="594" t="s">
        <v>143</v>
      </c>
      <c r="U23" s="590">
        <v>21</v>
      </c>
      <c r="V23" s="591" t="s">
        <v>160</v>
      </c>
      <c r="W23" s="592"/>
      <c r="X23" s="593" t="s">
        <v>143</v>
      </c>
    </row>
    <row r="24" spans="1:24">
      <c r="A24" s="585">
        <v>22</v>
      </c>
      <c r="B24" s="586" t="s">
        <v>158</v>
      </c>
      <c r="C24" s="587"/>
      <c r="D24" s="597"/>
      <c r="E24" s="585">
        <v>22</v>
      </c>
      <c r="F24" s="586" t="s">
        <v>159</v>
      </c>
      <c r="G24" s="587"/>
      <c r="H24" s="589" t="s">
        <v>143</v>
      </c>
      <c r="I24" s="590">
        <v>22</v>
      </c>
      <c r="J24" s="591" t="s">
        <v>160</v>
      </c>
      <c r="K24" s="592"/>
      <c r="L24" s="593" t="s">
        <v>143</v>
      </c>
      <c r="M24" s="585">
        <v>22</v>
      </c>
      <c r="N24" s="586" t="s">
        <v>154</v>
      </c>
      <c r="O24" s="587"/>
      <c r="P24" s="594" t="s">
        <v>143</v>
      </c>
      <c r="Q24" s="585">
        <v>22</v>
      </c>
      <c r="R24" s="586" t="s">
        <v>159</v>
      </c>
      <c r="S24" s="587"/>
      <c r="T24" s="594" t="s">
        <v>143</v>
      </c>
      <c r="U24" s="585">
        <v>22</v>
      </c>
      <c r="V24" s="586" t="s">
        <v>156</v>
      </c>
      <c r="W24" s="587"/>
      <c r="X24" s="594">
        <v>4</v>
      </c>
    </row>
    <row r="25" spans="1:24">
      <c r="A25" s="585">
        <v>23</v>
      </c>
      <c r="B25" s="586" t="s">
        <v>154</v>
      </c>
      <c r="C25" s="587"/>
      <c r="D25" s="597" t="s">
        <v>143</v>
      </c>
      <c r="E25" s="590">
        <v>23</v>
      </c>
      <c r="F25" s="591" t="s">
        <v>155</v>
      </c>
      <c r="G25" s="592"/>
      <c r="H25" s="595" t="s">
        <v>143</v>
      </c>
      <c r="I25" s="585">
        <v>23</v>
      </c>
      <c r="J25" s="586" t="s">
        <v>156</v>
      </c>
      <c r="K25" s="587"/>
      <c r="L25" s="594">
        <v>43</v>
      </c>
      <c r="M25" s="585">
        <v>23</v>
      </c>
      <c r="N25" s="586" t="s">
        <v>157</v>
      </c>
      <c r="O25" s="587"/>
      <c r="P25" s="594" t="s">
        <v>143</v>
      </c>
      <c r="Q25" s="590">
        <v>23</v>
      </c>
      <c r="R25" s="591" t="s">
        <v>155</v>
      </c>
      <c r="S25" s="592"/>
      <c r="T25" s="593" t="s">
        <v>143</v>
      </c>
      <c r="U25" s="585">
        <v>23</v>
      </c>
      <c r="V25" s="586" t="s">
        <v>158</v>
      </c>
      <c r="W25" s="587"/>
      <c r="X25" s="594"/>
    </row>
    <row r="26" spans="1:24">
      <c r="A26" s="585">
        <v>24</v>
      </c>
      <c r="B26" s="586" t="s">
        <v>157</v>
      </c>
      <c r="C26" s="587"/>
      <c r="D26" s="597" t="s">
        <v>143</v>
      </c>
      <c r="E26" s="590">
        <v>24</v>
      </c>
      <c r="F26" s="591" t="s">
        <v>160</v>
      </c>
      <c r="G26" s="592"/>
      <c r="H26" s="595" t="s">
        <v>143</v>
      </c>
      <c r="I26" s="585">
        <v>24</v>
      </c>
      <c r="J26" s="586" t="s">
        <v>158</v>
      </c>
      <c r="K26" s="587"/>
      <c r="L26" s="594"/>
      <c r="M26" s="585">
        <v>24</v>
      </c>
      <c r="N26" s="586" t="s">
        <v>159</v>
      </c>
      <c r="O26" s="587"/>
      <c r="P26" s="594" t="s">
        <v>143</v>
      </c>
      <c r="Q26" s="590">
        <v>24</v>
      </c>
      <c r="R26" s="591" t="s">
        <v>160</v>
      </c>
      <c r="S26" s="592" t="s">
        <v>131</v>
      </c>
      <c r="T26" s="593" t="s">
        <v>143</v>
      </c>
      <c r="U26" s="585">
        <v>24</v>
      </c>
      <c r="V26" s="586" t="s">
        <v>154</v>
      </c>
      <c r="W26" s="587"/>
      <c r="X26" s="594" t="s">
        <v>143</v>
      </c>
    </row>
    <row r="27" spans="1:24">
      <c r="A27" s="585">
        <v>25</v>
      </c>
      <c r="B27" s="586" t="s">
        <v>159</v>
      </c>
      <c r="C27" s="587"/>
      <c r="D27" s="597" t="s">
        <v>143</v>
      </c>
      <c r="E27" s="585">
        <v>25</v>
      </c>
      <c r="F27" s="586" t="s">
        <v>156</v>
      </c>
      <c r="G27" s="587"/>
      <c r="H27" s="589">
        <v>39</v>
      </c>
      <c r="I27" s="585">
        <v>25</v>
      </c>
      <c r="J27" s="586" t="s">
        <v>154</v>
      </c>
      <c r="K27" s="587"/>
      <c r="L27" s="594" t="s">
        <v>143</v>
      </c>
      <c r="M27" s="590">
        <v>25</v>
      </c>
      <c r="N27" s="591" t="s">
        <v>155</v>
      </c>
      <c r="O27" s="592"/>
      <c r="P27" s="593" t="s">
        <v>143</v>
      </c>
      <c r="Q27" s="590">
        <v>25</v>
      </c>
      <c r="R27" s="591" t="s">
        <v>156</v>
      </c>
      <c r="S27" s="592" t="s">
        <v>324</v>
      </c>
      <c r="T27" s="593">
        <v>52</v>
      </c>
      <c r="U27" s="585">
        <v>25</v>
      </c>
      <c r="V27" s="586" t="s">
        <v>157</v>
      </c>
      <c r="W27" s="587"/>
      <c r="X27" s="594" t="s">
        <v>143</v>
      </c>
    </row>
    <row r="28" spans="1:24">
      <c r="A28" s="590">
        <v>26</v>
      </c>
      <c r="B28" s="591" t="s">
        <v>155</v>
      </c>
      <c r="C28" s="592"/>
      <c r="D28" s="596" t="s">
        <v>143</v>
      </c>
      <c r="E28" s="585">
        <v>26</v>
      </c>
      <c r="F28" s="586" t="s">
        <v>158</v>
      </c>
      <c r="G28" s="587"/>
      <c r="H28" s="589"/>
      <c r="I28" s="585">
        <v>26</v>
      </c>
      <c r="J28" s="586" t="s">
        <v>157</v>
      </c>
      <c r="K28" s="587"/>
      <c r="L28" s="594" t="s">
        <v>143</v>
      </c>
      <c r="M28" s="590">
        <v>26</v>
      </c>
      <c r="N28" s="591" t="s">
        <v>160</v>
      </c>
      <c r="O28" s="592"/>
      <c r="P28" s="593" t="s">
        <v>143</v>
      </c>
      <c r="Q28" s="590">
        <v>26</v>
      </c>
      <c r="R28" s="591" t="s">
        <v>158</v>
      </c>
      <c r="S28" s="592" t="s">
        <v>98</v>
      </c>
      <c r="T28" s="593"/>
      <c r="U28" s="585">
        <v>26</v>
      </c>
      <c r="V28" s="586" t="s">
        <v>159</v>
      </c>
      <c r="W28" s="587"/>
      <c r="X28" s="594" t="s">
        <v>143</v>
      </c>
    </row>
    <row r="29" spans="1:24">
      <c r="A29" s="590">
        <v>27</v>
      </c>
      <c r="B29" s="591" t="s">
        <v>160</v>
      </c>
      <c r="C29" s="592"/>
      <c r="D29" s="596" t="s">
        <v>143</v>
      </c>
      <c r="E29" s="585">
        <v>27</v>
      </c>
      <c r="F29" s="586" t="s">
        <v>154</v>
      </c>
      <c r="G29" s="587"/>
      <c r="H29" s="589" t="s">
        <v>143</v>
      </c>
      <c r="I29" s="585">
        <v>27</v>
      </c>
      <c r="J29" s="586" t="s">
        <v>159</v>
      </c>
      <c r="K29" s="587"/>
      <c r="L29" s="594" t="s">
        <v>143</v>
      </c>
      <c r="M29" s="585">
        <v>27</v>
      </c>
      <c r="N29" s="586" t="s">
        <v>156</v>
      </c>
      <c r="O29" s="587"/>
      <c r="P29" s="594">
        <v>48</v>
      </c>
      <c r="Q29" s="585">
        <v>27</v>
      </c>
      <c r="R29" s="586" t="s">
        <v>154</v>
      </c>
      <c r="S29" s="587"/>
      <c r="T29" s="594" t="s">
        <v>143</v>
      </c>
      <c r="U29" s="590">
        <v>27</v>
      </c>
      <c r="V29" s="591" t="s">
        <v>155</v>
      </c>
      <c r="W29" s="592"/>
      <c r="X29" s="593" t="s">
        <v>143</v>
      </c>
    </row>
    <row r="30" spans="1:24">
      <c r="A30" s="585">
        <v>28</v>
      </c>
      <c r="B30" s="586" t="s">
        <v>156</v>
      </c>
      <c r="C30" s="587"/>
      <c r="D30" s="597">
        <v>35</v>
      </c>
      <c r="E30" s="585">
        <v>28</v>
      </c>
      <c r="F30" s="586" t="s">
        <v>157</v>
      </c>
      <c r="G30" s="587"/>
      <c r="H30" s="589" t="s">
        <v>143</v>
      </c>
      <c r="I30" s="590">
        <v>28</v>
      </c>
      <c r="J30" s="591" t="s">
        <v>155</v>
      </c>
      <c r="K30" s="592"/>
      <c r="L30" s="593" t="s">
        <v>143</v>
      </c>
      <c r="M30" s="585">
        <v>28</v>
      </c>
      <c r="N30" s="586" t="s">
        <v>158</v>
      </c>
      <c r="O30" s="587"/>
      <c r="P30" s="594"/>
      <c r="Q30" s="585">
        <v>28</v>
      </c>
      <c r="R30" s="586" t="s">
        <v>157</v>
      </c>
      <c r="S30" s="587"/>
      <c r="T30" s="594" t="s">
        <v>143</v>
      </c>
      <c r="U30" s="590">
        <v>28</v>
      </c>
      <c r="V30" s="591" t="s">
        <v>160</v>
      </c>
      <c r="W30" s="592"/>
      <c r="X30" s="593" t="s">
        <v>143</v>
      </c>
    </row>
    <row r="31" spans="1:24">
      <c r="A31" s="585">
        <v>29</v>
      </c>
      <c r="B31" s="586" t="s">
        <v>158</v>
      </c>
      <c r="C31" s="587"/>
      <c r="D31" s="588"/>
      <c r="E31" s="585">
        <v>29</v>
      </c>
      <c r="F31" s="586" t="s">
        <v>159</v>
      </c>
      <c r="G31" s="587"/>
      <c r="H31" s="589" t="s">
        <v>143</v>
      </c>
      <c r="I31" s="590">
        <v>29</v>
      </c>
      <c r="J31" s="591" t="s">
        <v>160</v>
      </c>
      <c r="K31" s="592"/>
      <c r="L31" s="593" t="s">
        <v>143</v>
      </c>
      <c r="M31" s="585">
        <v>29</v>
      </c>
      <c r="N31" s="586" t="s">
        <v>154</v>
      </c>
      <c r="O31" s="587"/>
      <c r="P31" s="594" t="s">
        <v>143</v>
      </c>
      <c r="Q31" s="585">
        <v>29</v>
      </c>
      <c r="R31" s="586" t="s">
        <v>159</v>
      </c>
      <c r="S31" s="587"/>
      <c r="T31" s="594" t="s">
        <v>143</v>
      </c>
      <c r="U31" s="585">
        <v>29</v>
      </c>
      <c r="V31" s="586" t="s">
        <v>156</v>
      </c>
      <c r="W31" s="587"/>
      <c r="X31" s="594">
        <v>5</v>
      </c>
    </row>
    <row r="32" spans="1:24">
      <c r="A32" s="585">
        <v>30</v>
      </c>
      <c r="B32" s="586" t="s">
        <v>154</v>
      </c>
      <c r="C32" s="587"/>
      <c r="D32" s="588" t="s">
        <v>143</v>
      </c>
      <c r="E32" s="590">
        <v>30</v>
      </c>
      <c r="F32" s="591" t="s">
        <v>155</v>
      </c>
      <c r="G32" s="592"/>
      <c r="H32" s="595" t="s">
        <v>143</v>
      </c>
      <c r="I32" s="585">
        <v>30</v>
      </c>
      <c r="J32" s="586" t="s">
        <v>156</v>
      </c>
      <c r="K32" s="587"/>
      <c r="L32" s="594">
        <v>44</v>
      </c>
      <c r="M32" s="585">
        <v>30</v>
      </c>
      <c r="N32" s="586" t="s">
        <v>157</v>
      </c>
      <c r="O32" s="587"/>
      <c r="P32" s="594" t="s">
        <v>143</v>
      </c>
      <c r="Q32" s="590">
        <v>30</v>
      </c>
      <c r="R32" s="591" t="s">
        <v>155</v>
      </c>
      <c r="S32" s="592"/>
      <c r="T32" s="593"/>
      <c r="U32" s="585">
        <v>30</v>
      </c>
      <c r="V32" s="586" t="s">
        <v>158</v>
      </c>
      <c r="W32" s="587"/>
      <c r="X32" s="594"/>
    </row>
    <row r="33" spans="1:24">
      <c r="A33" s="585">
        <v>31</v>
      </c>
      <c r="B33" s="586" t="s">
        <v>157</v>
      </c>
      <c r="C33" s="587"/>
      <c r="D33" s="588" t="s">
        <v>143</v>
      </c>
      <c r="E33" s="208"/>
      <c r="F33" s="209"/>
      <c r="G33" s="210"/>
      <c r="H33" s="599"/>
      <c r="I33" s="600">
        <v>31</v>
      </c>
      <c r="J33" s="601" t="s">
        <v>158</v>
      </c>
      <c r="K33" s="602"/>
      <c r="L33" s="603"/>
      <c r="M33" s="208"/>
      <c r="N33" s="209"/>
      <c r="O33" s="210"/>
      <c r="P33" s="211"/>
      <c r="Q33" s="604">
        <v>31</v>
      </c>
      <c r="R33" s="605" t="s">
        <v>160</v>
      </c>
      <c r="S33" s="606" t="s">
        <v>130</v>
      </c>
      <c r="T33" s="607" t="s">
        <v>143</v>
      </c>
      <c r="U33" s="600">
        <v>31</v>
      </c>
      <c r="V33" s="601" t="s">
        <v>154</v>
      </c>
      <c r="W33" s="602"/>
      <c r="X33" s="603" t="s">
        <v>143</v>
      </c>
    </row>
  </sheetData>
  <mergeCells count="1">
    <mergeCell ref="A1:X1"/>
  </mergeCells>
  <pageMargins left="0.7" right="0.7" top="0.75" bottom="0.75" header="0.3" footer="0.3"/>
  <pageSetup paperSize="9" scale="69" orientation="landscape"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FBB43-15C9-F548-B4FE-EDAA2C9A923F}">
  <dimension ref="A1:X33"/>
  <sheetViews>
    <sheetView workbookViewId="0">
      <selection activeCell="K28" sqref="K28"/>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325" t="s">
        <v>547</v>
      </c>
      <c r="B1" s="1326"/>
      <c r="C1" s="1326"/>
      <c r="D1" s="1326"/>
      <c r="E1" s="1326"/>
      <c r="F1" s="1326"/>
      <c r="G1" s="1326"/>
      <c r="H1" s="1326"/>
      <c r="I1" s="1326"/>
      <c r="J1" s="1326"/>
      <c r="K1" s="1326"/>
      <c r="L1" s="1326"/>
      <c r="M1" s="1326"/>
      <c r="N1" s="1326"/>
      <c r="O1" s="1326"/>
      <c r="P1" s="1326"/>
      <c r="Q1" s="1326"/>
      <c r="R1" s="1326"/>
      <c r="S1" s="1326"/>
      <c r="T1" s="1326"/>
      <c r="U1" s="1326"/>
      <c r="V1" s="1326"/>
      <c r="W1" s="1326"/>
      <c r="X1" s="1327"/>
    </row>
    <row r="2" spans="1:24" ht="18">
      <c r="A2" s="326" t="s">
        <v>100</v>
      </c>
      <c r="B2" s="323"/>
      <c r="C2" s="324"/>
      <c r="D2" s="325"/>
      <c r="E2" s="322" t="s">
        <v>101</v>
      </c>
      <c r="F2" s="323"/>
      <c r="G2" s="324"/>
      <c r="H2" s="325"/>
      <c r="I2" s="322" t="s">
        <v>102</v>
      </c>
      <c r="J2" s="323"/>
      <c r="K2" s="324"/>
      <c r="L2" s="325"/>
      <c r="M2" s="322" t="s">
        <v>103</v>
      </c>
      <c r="N2" s="323"/>
      <c r="O2" s="324"/>
      <c r="P2" s="325"/>
      <c r="Q2" s="322" t="s">
        <v>104</v>
      </c>
      <c r="R2" s="323"/>
      <c r="S2" s="324"/>
      <c r="T2" s="325"/>
      <c r="U2" s="322" t="s">
        <v>105</v>
      </c>
      <c r="V2" s="323"/>
      <c r="W2" s="324"/>
      <c r="X2" s="325"/>
    </row>
    <row r="3" spans="1:24">
      <c r="A3" s="585">
        <v>1</v>
      </c>
      <c r="B3" s="586" t="s">
        <v>157</v>
      </c>
      <c r="C3" s="587"/>
      <c r="D3" s="589" t="s">
        <v>143</v>
      </c>
      <c r="E3" s="585">
        <v>1</v>
      </c>
      <c r="F3" s="586" t="s">
        <v>159</v>
      </c>
      <c r="G3" s="587"/>
      <c r="H3" s="594" t="s">
        <v>143</v>
      </c>
      <c r="I3" s="590">
        <v>1</v>
      </c>
      <c r="J3" s="591" t="s">
        <v>156</v>
      </c>
      <c r="K3" s="592" t="s">
        <v>319</v>
      </c>
      <c r="L3" s="595">
        <v>14</v>
      </c>
      <c r="M3" s="585">
        <v>1</v>
      </c>
      <c r="N3" s="586" t="s">
        <v>154</v>
      </c>
      <c r="O3" s="587"/>
      <c r="P3" s="594"/>
      <c r="Q3" s="590">
        <v>1</v>
      </c>
      <c r="R3" s="591" t="s">
        <v>155</v>
      </c>
      <c r="S3" s="592"/>
      <c r="T3" s="595" t="s">
        <v>143</v>
      </c>
      <c r="U3" s="585">
        <v>1</v>
      </c>
      <c r="V3" s="586" t="s">
        <v>156</v>
      </c>
      <c r="W3" s="587"/>
      <c r="X3" s="594">
        <v>27</v>
      </c>
    </row>
    <row r="4" spans="1:24">
      <c r="A4" s="585">
        <v>2</v>
      </c>
      <c r="B4" s="586" t="s">
        <v>159</v>
      </c>
      <c r="C4" s="587"/>
      <c r="D4" s="589" t="s">
        <v>143</v>
      </c>
      <c r="E4" s="590">
        <v>2</v>
      </c>
      <c r="F4" s="591" t="s">
        <v>155</v>
      </c>
      <c r="G4" s="592"/>
      <c r="H4" s="593" t="s">
        <v>143</v>
      </c>
      <c r="I4" s="585">
        <v>2</v>
      </c>
      <c r="J4" s="586" t="s">
        <v>158</v>
      </c>
      <c r="K4" s="587"/>
      <c r="L4" s="589" t="s">
        <v>143</v>
      </c>
      <c r="M4" s="585">
        <v>2</v>
      </c>
      <c r="N4" s="586" t="s">
        <v>157</v>
      </c>
      <c r="O4" s="587"/>
      <c r="P4" s="594" t="s">
        <v>143</v>
      </c>
      <c r="Q4" s="590">
        <v>2</v>
      </c>
      <c r="R4" s="591" t="s">
        <v>160</v>
      </c>
      <c r="S4" s="592"/>
      <c r="T4" s="595" t="s">
        <v>143</v>
      </c>
      <c r="U4" s="585">
        <v>2</v>
      </c>
      <c r="V4" s="586" t="s">
        <v>158</v>
      </c>
      <c r="W4" s="587"/>
      <c r="X4" s="594" t="s">
        <v>143</v>
      </c>
    </row>
    <row r="5" spans="1:24">
      <c r="A5" s="590">
        <v>3</v>
      </c>
      <c r="B5" s="591" t="s">
        <v>155</v>
      </c>
      <c r="C5" s="592"/>
      <c r="D5" s="595" t="s">
        <v>143</v>
      </c>
      <c r="E5" s="590">
        <v>3</v>
      </c>
      <c r="F5" s="591" t="s">
        <v>160</v>
      </c>
      <c r="G5" s="592"/>
      <c r="H5" s="593" t="s">
        <v>143</v>
      </c>
      <c r="I5" s="585">
        <v>3</v>
      </c>
      <c r="J5" s="586" t="s">
        <v>154</v>
      </c>
      <c r="K5" s="587"/>
      <c r="L5" s="589"/>
      <c r="M5" s="585">
        <v>3</v>
      </c>
      <c r="N5" s="586" t="s">
        <v>159</v>
      </c>
      <c r="O5" s="587"/>
      <c r="P5" s="594" t="s">
        <v>143</v>
      </c>
      <c r="Q5" s="585">
        <v>3</v>
      </c>
      <c r="R5" s="586" t="s">
        <v>156</v>
      </c>
      <c r="S5" s="587"/>
      <c r="T5" s="589">
        <v>23</v>
      </c>
      <c r="U5" s="585">
        <v>3</v>
      </c>
      <c r="V5" s="586" t="s">
        <v>154</v>
      </c>
      <c r="W5" s="587"/>
      <c r="X5" s="594"/>
    </row>
    <row r="6" spans="1:24">
      <c r="A6" s="590">
        <v>4</v>
      </c>
      <c r="B6" s="591" t="s">
        <v>160</v>
      </c>
      <c r="C6" s="592"/>
      <c r="D6" s="595" t="s">
        <v>143</v>
      </c>
      <c r="E6" s="585">
        <v>4</v>
      </c>
      <c r="F6" s="586" t="s">
        <v>156</v>
      </c>
      <c r="G6" s="587"/>
      <c r="H6" s="594">
        <v>10</v>
      </c>
      <c r="I6" s="585">
        <v>4</v>
      </c>
      <c r="J6" s="586" t="s">
        <v>157</v>
      </c>
      <c r="K6" s="587"/>
      <c r="L6" s="589" t="s">
        <v>143</v>
      </c>
      <c r="M6" s="590">
        <v>4</v>
      </c>
      <c r="N6" s="591" t="s">
        <v>155</v>
      </c>
      <c r="O6" s="592"/>
      <c r="P6" s="593" t="s">
        <v>143</v>
      </c>
      <c r="Q6" s="585">
        <v>4</v>
      </c>
      <c r="R6" s="586" t="s">
        <v>158</v>
      </c>
      <c r="S6" s="587"/>
      <c r="T6" s="589" t="s">
        <v>143</v>
      </c>
      <c r="U6" s="585">
        <v>4</v>
      </c>
      <c r="V6" s="586" t="s">
        <v>157</v>
      </c>
      <c r="W6" s="587"/>
      <c r="X6" s="594" t="s">
        <v>143</v>
      </c>
    </row>
    <row r="7" spans="1:24">
      <c r="A7" s="585">
        <v>5</v>
      </c>
      <c r="B7" s="586" t="s">
        <v>156</v>
      </c>
      <c r="C7" s="587"/>
      <c r="D7" s="589">
        <v>6</v>
      </c>
      <c r="E7" s="585">
        <v>5</v>
      </c>
      <c r="F7" s="586" t="s">
        <v>158</v>
      </c>
      <c r="G7" s="587"/>
      <c r="H7" s="594" t="s">
        <v>143</v>
      </c>
      <c r="I7" s="585">
        <v>5</v>
      </c>
      <c r="J7" s="586" t="s">
        <v>159</v>
      </c>
      <c r="K7" s="587"/>
      <c r="L7" s="589" t="s">
        <v>143</v>
      </c>
      <c r="M7" s="590">
        <v>5</v>
      </c>
      <c r="N7" s="591" t="s">
        <v>160</v>
      </c>
      <c r="O7" s="592"/>
      <c r="P7" s="593" t="s">
        <v>143</v>
      </c>
      <c r="Q7" s="585">
        <v>5</v>
      </c>
      <c r="R7" s="586" t="s">
        <v>154</v>
      </c>
      <c r="S7" s="587" t="s">
        <v>221</v>
      </c>
      <c r="T7" s="589"/>
      <c r="U7" s="585">
        <v>5</v>
      </c>
      <c r="V7" s="586" t="s">
        <v>159</v>
      </c>
      <c r="W7" s="587"/>
      <c r="X7" s="594" t="s">
        <v>143</v>
      </c>
    </row>
    <row r="8" spans="1:24">
      <c r="A8" s="585">
        <v>6</v>
      </c>
      <c r="B8" s="586" t="s">
        <v>158</v>
      </c>
      <c r="C8" s="587"/>
      <c r="D8" s="589"/>
      <c r="E8" s="585">
        <v>6</v>
      </c>
      <c r="F8" s="586" t="s">
        <v>154</v>
      </c>
      <c r="G8" s="587"/>
      <c r="H8" s="594"/>
      <c r="I8" s="590">
        <v>6</v>
      </c>
      <c r="J8" s="591" t="s">
        <v>155</v>
      </c>
      <c r="K8" s="592"/>
      <c r="L8" s="595" t="s">
        <v>143</v>
      </c>
      <c r="M8" s="585">
        <v>6</v>
      </c>
      <c r="N8" s="586" t="s">
        <v>156</v>
      </c>
      <c r="O8" s="587"/>
      <c r="P8" s="594">
        <v>19</v>
      </c>
      <c r="Q8" s="585">
        <v>6</v>
      </c>
      <c r="R8" s="586" t="s">
        <v>157</v>
      </c>
      <c r="S8" s="587"/>
      <c r="T8" s="589" t="s">
        <v>143</v>
      </c>
      <c r="U8" s="590">
        <v>6</v>
      </c>
      <c r="V8" s="591" t="s">
        <v>155</v>
      </c>
      <c r="W8" s="592"/>
      <c r="X8" s="593" t="s">
        <v>143</v>
      </c>
    </row>
    <row r="9" spans="1:24">
      <c r="A9" s="585">
        <v>7</v>
      </c>
      <c r="B9" s="586" t="s">
        <v>154</v>
      </c>
      <c r="C9" s="587"/>
      <c r="D9" s="589" t="s">
        <v>143</v>
      </c>
      <c r="E9" s="585">
        <v>7</v>
      </c>
      <c r="F9" s="586" t="s">
        <v>157</v>
      </c>
      <c r="G9" s="587"/>
      <c r="H9" s="594" t="s">
        <v>143</v>
      </c>
      <c r="I9" s="590">
        <v>7</v>
      </c>
      <c r="J9" s="591" t="s">
        <v>160</v>
      </c>
      <c r="K9" s="592"/>
      <c r="L9" s="595" t="s">
        <v>143</v>
      </c>
      <c r="M9" s="585">
        <v>7</v>
      </c>
      <c r="N9" s="586" t="s">
        <v>158</v>
      </c>
      <c r="O9" s="587"/>
      <c r="P9" s="594" t="s">
        <v>143</v>
      </c>
      <c r="Q9" s="585">
        <v>7</v>
      </c>
      <c r="R9" s="586" t="s">
        <v>159</v>
      </c>
      <c r="S9" s="587"/>
      <c r="T9" s="589" t="s">
        <v>143</v>
      </c>
      <c r="U9" s="590">
        <v>7</v>
      </c>
      <c r="V9" s="591" t="s">
        <v>160</v>
      </c>
      <c r="W9" s="592"/>
      <c r="X9" s="593" t="s">
        <v>143</v>
      </c>
    </row>
    <row r="10" spans="1:24">
      <c r="A10" s="585">
        <v>8</v>
      </c>
      <c r="B10" s="586" t="s">
        <v>157</v>
      </c>
      <c r="C10" s="587"/>
      <c r="D10" s="589" t="s">
        <v>143</v>
      </c>
      <c r="E10" s="585">
        <v>8</v>
      </c>
      <c r="F10" s="586" t="s">
        <v>159</v>
      </c>
      <c r="G10" s="587"/>
      <c r="H10" s="594" t="s">
        <v>143</v>
      </c>
      <c r="I10" s="585">
        <v>8</v>
      </c>
      <c r="J10" s="586" t="s">
        <v>156</v>
      </c>
      <c r="K10" s="587"/>
      <c r="L10" s="589">
        <v>15</v>
      </c>
      <c r="M10" s="585">
        <v>8</v>
      </c>
      <c r="N10" s="586" t="s">
        <v>154</v>
      </c>
      <c r="O10" s="587"/>
      <c r="P10" s="594"/>
      <c r="Q10" s="590">
        <v>8</v>
      </c>
      <c r="R10" s="591" t="s">
        <v>155</v>
      </c>
      <c r="S10" s="592"/>
      <c r="T10" s="595" t="s">
        <v>143</v>
      </c>
      <c r="U10" s="585">
        <v>8</v>
      </c>
      <c r="V10" s="586" t="s">
        <v>156</v>
      </c>
      <c r="W10" s="587"/>
      <c r="X10" s="594">
        <v>28</v>
      </c>
    </row>
    <row r="11" spans="1:24">
      <c r="A11" s="585">
        <v>9</v>
      </c>
      <c r="B11" s="586" t="s">
        <v>159</v>
      </c>
      <c r="C11" s="587"/>
      <c r="D11" s="589" t="s">
        <v>143</v>
      </c>
      <c r="E11" s="590">
        <v>9</v>
      </c>
      <c r="F11" s="591" t="s">
        <v>155</v>
      </c>
      <c r="G11" s="592"/>
      <c r="H11" s="593" t="s">
        <v>143</v>
      </c>
      <c r="I11" s="585">
        <v>9</v>
      </c>
      <c r="J11" s="586" t="s">
        <v>158</v>
      </c>
      <c r="K11" s="587"/>
      <c r="L11" s="589" t="s">
        <v>143</v>
      </c>
      <c r="M11" s="590">
        <v>9</v>
      </c>
      <c r="N11" s="591" t="s">
        <v>157</v>
      </c>
      <c r="O11" s="598" t="s">
        <v>325</v>
      </c>
      <c r="P11" s="593" t="s">
        <v>143</v>
      </c>
      <c r="Q11" s="590">
        <v>9</v>
      </c>
      <c r="R11" s="591" t="s">
        <v>160</v>
      </c>
      <c r="S11" s="592"/>
      <c r="T11" s="595" t="s">
        <v>143</v>
      </c>
      <c r="U11" s="585">
        <v>9</v>
      </c>
      <c r="V11" s="586" t="s">
        <v>158</v>
      </c>
      <c r="W11" s="587"/>
      <c r="X11" s="594" t="s">
        <v>143</v>
      </c>
    </row>
    <row r="12" spans="1:24">
      <c r="A12" s="590">
        <v>10</v>
      </c>
      <c r="B12" s="591" t="s">
        <v>155</v>
      </c>
      <c r="C12" s="592"/>
      <c r="D12" s="595" t="s">
        <v>143</v>
      </c>
      <c r="E12" s="590">
        <v>10</v>
      </c>
      <c r="F12" s="591" t="s">
        <v>160</v>
      </c>
      <c r="G12" s="592"/>
      <c r="H12" s="593" t="s">
        <v>143</v>
      </c>
      <c r="I12" s="585">
        <v>10</v>
      </c>
      <c r="J12" s="586" t="s">
        <v>154</v>
      </c>
      <c r="K12" s="587"/>
      <c r="L12" s="589"/>
      <c r="M12" s="585">
        <v>10</v>
      </c>
      <c r="N12" s="586" t="s">
        <v>159</v>
      </c>
      <c r="O12" s="587"/>
      <c r="P12" s="594" t="s">
        <v>143</v>
      </c>
      <c r="Q12" s="585">
        <v>10</v>
      </c>
      <c r="R12" s="586" t="s">
        <v>156</v>
      </c>
      <c r="S12" s="587"/>
      <c r="T12" s="589">
        <v>24</v>
      </c>
      <c r="U12" s="585">
        <v>10</v>
      </c>
      <c r="V12" s="586" t="s">
        <v>154</v>
      </c>
      <c r="W12" s="587"/>
      <c r="X12" s="594"/>
    </row>
    <row r="13" spans="1:24">
      <c r="A13" s="590">
        <v>11</v>
      </c>
      <c r="B13" s="591" t="s">
        <v>160</v>
      </c>
      <c r="C13" s="592"/>
      <c r="D13" s="595" t="s">
        <v>143</v>
      </c>
      <c r="E13" s="585">
        <v>11</v>
      </c>
      <c r="F13" s="586" t="s">
        <v>156</v>
      </c>
      <c r="G13" s="587"/>
      <c r="H13" s="594">
        <v>11</v>
      </c>
      <c r="I13" s="585">
        <v>11</v>
      </c>
      <c r="J13" s="586" t="s">
        <v>157</v>
      </c>
      <c r="K13" s="587"/>
      <c r="L13" s="589" t="s">
        <v>143</v>
      </c>
      <c r="M13" s="590">
        <v>11</v>
      </c>
      <c r="N13" s="591" t="s">
        <v>155</v>
      </c>
      <c r="O13" s="592"/>
      <c r="P13" s="593" t="s">
        <v>143</v>
      </c>
      <c r="Q13" s="585">
        <v>11</v>
      </c>
      <c r="R13" s="586" t="s">
        <v>158</v>
      </c>
      <c r="S13" s="587"/>
      <c r="T13" s="589" t="s">
        <v>143</v>
      </c>
      <c r="U13" s="585">
        <v>11</v>
      </c>
      <c r="V13" s="586" t="s">
        <v>157</v>
      </c>
      <c r="W13" s="587"/>
      <c r="X13" s="594" t="s">
        <v>143</v>
      </c>
    </row>
    <row r="14" spans="1:24">
      <c r="A14" s="585">
        <v>12</v>
      </c>
      <c r="B14" s="586" t="s">
        <v>156</v>
      </c>
      <c r="C14" s="587"/>
      <c r="D14" s="589">
        <v>7</v>
      </c>
      <c r="E14" s="585">
        <v>12</v>
      </c>
      <c r="F14" s="586" t="s">
        <v>158</v>
      </c>
      <c r="G14" s="587"/>
      <c r="H14" s="594" t="s">
        <v>143</v>
      </c>
      <c r="I14" s="585">
        <v>12</v>
      </c>
      <c r="J14" s="586" t="s">
        <v>159</v>
      </c>
      <c r="K14" s="587"/>
      <c r="L14" s="589" t="s">
        <v>143</v>
      </c>
      <c r="M14" s="590">
        <v>12</v>
      </c>
      <c r="N14" s="591" t="s">
        <v>160</v>
      </c>
      <c r="O14" s="592"/>
      <c r="P14" s="593" t="s">
        <v>143</v>
      </c>
      <c r="Q14" s="585">
        <v>12</v>
      </c>
      <c r="R14" s="586" t="s">
        <v>154</v>
      </c>
      <c r="S14" s="587"/>
      <c r="T14" s="589"/>
      <c r="U14" s="585">
        <v>12</v>
      </c>
      <c r="V14" s="586" t="s">
        <v>159</v>
      </c>
      <c r="W14" s="587"/>
      <c r="X14" s="594" t="s">
        <v>143</v>
      </c>
    </row>
    <row r="15" spans="1:24">
      <c r="A15" s="585">
        <v>13</v>
      </c>
      <c r="B15" s="586" t="s">
        <v>158</v>
      </c>
      <c r="C15" s="587"/>
      <c r="D15" s="589"/>
      <c r="E15" s="585">
        <v>13</v>
      </c>
      <c r="F15" s="586" t="s">
        <v>154</v>
      </c>
      <c r="G15" s="587"/>
      <c r="H15" s="594"/>
      <c r="I15" s="590">
        <v>13</v>
      </c>
      <c r="J15" s="591" t="s">
        <v>155</v>
      </c>
      <c r="K15" s="592"/>
      <c r="L15" s="595" t="s">
        <v>143</v>
      </c>
      <c r="M15" s="585">
        <v>13</v>
      </c>
      <c r="N15" s="586" t="s">
        <v>156</v>
      </c>
      <c r="O15" s="587"/>
      <c r="P15" s="594">
        <v>20</v>
      </c>
      <c r="Q15" s="585">
        <v>13</v>
      </c>
      <c r="R15" s="586" t="s">
        <v>157</v>
      </c>
      <c r="S15" s="587"/>
      <c r="T15" s="589" t="s">
        <v>143</v>
      </c>
      <c r="U15" s="590">
        <v>13</v>
      </c>
      <c r="V15" s="591" t="s">
        <v>155</v>
      </c>
      <c r="W15" s="592"/>
      <c r="X15" s="593" t="s">
        <v>143</v>
      </c>
    </row>
    <row r="16" spans="1:24">
      <c r="A16" s="585">
        <v>14</v>
      </c>
      <c r="B16" s="586" t="s">
        <v>154</v>
      </c>
      <c r="C16" s="587"/>
      <c r="D16" s="589" t="s">
        <v>143</v>
      </c>
      <c r="E16" s="585">
        <v>14</v>
      </c>
      <c r="F16" s="586" t="s">
        <v>157</v>
      </c>
      <c r="G16" s="587"/>
      <c r="H16" s="594" t="s">
        <v>143</v>
      </c>
      <c r="I16" s="590">
        <v>14</v>
      </c>
      <c r="J16" s="591" t="s">
        <v>160</v>
      </c>
      <c r="K16" s="592"/>
      <c r="L16" s="595" t="s">
        <v>143</v>
      </c>
      <c r="M16" s="585">
        <v>14</v>
      </c>
      <c r="N16" s="586" t="s">
        <v>158</v>
      </c>
      <c r="O16" s="587"/>
      <c r="P16" s="594" t="s">
        <v>143</v>
      </c>
      <c r="Q16" s="585">
        <v>14</v>
      </c>
      <c r="R16" s="586" t="s">
        <v>159</v>
      </c>
      <c r="S16" s="587"/>
      <c r="T16" s="589" t="s">
        <v>143</v>
      </c>
      <c r="U16" s="590">
        <v>14</v>
      </c>
      <c r="V16" s="591" t="s">
        <v>160</v>
      </c>
      <c r="W16" s="592"/>
      <c r="X16" s="593" t="s">
        <v>143</v>
      </c>
    </row>
    <row r="17" spans="1:24">
      <c r="A17" s="585">
        <v>15</v>
      </c>
      <c r="B17" s="586" t="s">
        <v>157</v>
      </c>
      <c r="C17" s="587"/>
      <c r="D17" s="589" t="s">
        <v>143</v>
      </c>
      <c r="E17" s="585">
        <v>15</v>
      </c>
      <c r="F17" s="586" t="s">
        <v>159</v>
      </c>
      <c r="G17" s="587"/>
      <c r="H17" s="594" t="s">
        <v>143</v>
      </c>
      <c r="I17" s="585">
        <v>15</v>
      </c>
      <c r="J17" s="586" t="s">
        <v>156</v>
      </c>
      <c r="K17" s="587"/>
      <c r="L17" s="589">
        <v>16</v>
      </c>
      <c r="M17" s="585">
        <v>15</v>
      </c>
      <c r="N17" s="586" t="s">
        <v>154</v>
      </c>
      <c r="O17" s="587"/>
      <c r="P17" s="594"/>
      <c r="Q17" s="590">
        <v>15</v>
      </c>
      <c r="R17" s="591" t="s">
        <v>155</v>
      </c>
      <c r="S17" s="592"/>
      <c r="T17" s="595" t="s">
        <v>143</v>
      </c>
      <c r="U17" s="585">
        <v>15</v>
      </c>
      <c r="V17" s="586" t="s">
        <v>156</v>
      </c>
      <c r="W17" s="587"/>
      <c r="X17" s="594">
        <v>29</v>
      </c>
    </row>
    <row r="18" spans="1:24">
      <c r="A18" s="585">
        <v>16</v>
      </c>
      <c r="B18" s="586" t="s">
        <v>159</v>
      </c>
      <c r="C18" s="587"/>
      <c r="D18" s="589" t="s">
        <v>143</v>
      </c>
      <c r="E18" s="590">
        <v>16</v>
      </c>
      <c r="F18" s="591" t="s">
        <v>155</v>
      </c>
      <c r="G18" s="592"/>
      <c r="H18" s="593" t="s">
        <v>143</v>
      </c>
      <c r="I18" s="585">
        <v>16</v>
      </c>
      <c r="J18" s="586" t="s">
        <v>158</v>
      </c>
      <c r="K18" s="587"/>
      <c r="L18" s="589" t="s">
        <v>143</v>
      </c>
      <c r="M18" s="585">
        <v>16</v>
      </c>
      <c r="N18" s="586" t="s">
        <v>157</v>
      </c>
      <c r="O18" s="587"/>
      <c r="P18" s="594" t="s">
        <v>143</v>
      </c>
      <c r="Q18" s="590">
        <v>16</v>
      </c>
      <c r="R18" s="591" t="s">
        <v>160</v>
      </c>
      <c r="S18" s="592"/>
      <c r="T18" s="595" t="s">
        <v>143</v>
      </c>
      <c r="U18" s="585">
        <v>16</v>
      </c>
      <c r="V18" s="586" t="s">
        <v>158</v>
      </c>
      <c r="W18" s="587"/>
      <c r="X18" s="594" t="s">
        <v>143</v>
      </c>
    </row>
    <row r="19" spans="1:24">
      <c r="A19" s="590">
        <v>17</v>
      </c>
      <c r="B19" s="591" t="s">
        <v>155</v>
      </c>
      <c r="C19" s="592"/>
      <c r="D19" s="595" t="s">
        <v>143</v>
      </c>
      <c r="E19" s="590">
        <v>17</v>
      </c>
      <c r="F19" s="591" t="s">
        <v>160</v>
      </c>
      <c r="G19" s="592"/>
      <c r="H19" s="593" t="s">
        <v>143</v>
      </c>
      <c r="I19" s="585">
        <v>17</v>
      </c>
      <c r="J19" s="586" t="s">
        <v>154</v>
      </c>
      <c r="K19" s="587"/>
      <c r="L19" s="589"/>
      <c r="M19" s="585">
        <v>17</v>
      </c>
      <c r="N19" s="586" t="s">
        <v>159</v>
      </c>
      <c r="O19" s="587"/>
      <c r="P19" s="594" t="s">
        <v>143</v>
      </c>
      <c r="Q19" s="585">
        <v>17</v>
      </c>
      <c r="R19" s="586" t="s">
        <v>156</v>
      </c>
      <c r="S19" s="587"/>
      <c r="T19" s="589">
        <v>25</v>
      </c>
      <c r="U19" s="585">
        <v>17</v>
      </c>
      <c r="V19" s="586" t="s">
        <v>154</v>
      </c>
      <c r="W19" s="587"/>
      <c r="X19" s="594"/>
    </row>
    <row r="20" spans="1:24">
      <c r="A20" s="590">
        <v>18</v>
      </c>
      <c r="B20" s="591" t="s">
        <v>160</v>
      </c>
      <c r="C20" s="592"/>
      <c r="D20" s="595" t="s">
        <v>143</v>
      </c>
      <c r="E20" s="585">
        <v>18</v>
      </c>
      <c r="F20" s="586" t="s">
        <v>156</v>
      </c>
      <c r="G20" s="587"/>
      <c r="H20" s="594">
        <v>12</v>
      </c>
      <c r="I20" s="585">
        <v>18</v>
      </c>
      <c r="J20" s="586" t="s">
        <v>157</v>
      </c>
      <c r="K20" s="587"/>
      <c r="L20" s="589" t="s">
        <v>143</v>
      </c>
      <c r="M20" s="590">
        <v>18</v>
      </c>
      <c r="N20" s="591" t="s">
        <v>155</v>
      </c>
      <c r="O20" s="1323"/>
      <c r="P20" s="1324"/>
      <c r="Q20" s="585">
        <v>18</v>
      </c>
      <c r="R20" s="586" t="s">
        <v>158</v>
      </c>
      <c r="S20" s="587"/>
      <c r="T20" s="589" t="s">
        <v>143</v>
      </c>
      <c r="U20" s="585">
        <v>18</v>
      </c>
      <c r="V20" s="586" t="s">
        <v>157</v>
      </c>
      <c r="W20" s="587"/>
      <c r="X20" s="594" t="s">
        <v>143</v>
      </c>
    </row>
    <row r="21" spans="1:24">
      <c r="A21" s="585">
        <v>19</v>
      </c>
      <c r="B21" s="586" t="s">
        <v>156</v>
      </c>
      <c r="C21" s="587"/>
      <c r="D21" s="589">
        <v>8</v>
      </c>
      <c r="E21" s="585">
        <v>19</v>
      </c>
      <c r="F21" s="586" t="s">
        <v>158</v>
      </c>
      <c r="G21" s="587"/>
      <c r="H21" s="594" t="s">
        <v>143</v>
      </c>
      <c r="I21" s="585">
        <v>19</v>
      </c>
      <c r="J21" s="586" t="s">
        <v>159</v>
      </c>
      <c r="K21" s="587"/>
      <c r="L21" s="589" t="s">
        <v>143</v>
      </c>
      <c r="M21" s="590">
        <v>19</v>
      </c>
      <c r="N21" s="591" t="s">
        <v>160</v>
      </c>
      <c r="O21" s="592" t="s">
        <v>180</v>
      </c>
      <c r="P21" s="593" t="s">
        <v>143</v>
      </c>
      <c r="Q21" s="585">
        <v>19</v>
      </c>
      <c r="R21" s="586" t="s">
        <v>154</v>
      </c>
      <c r="S21" s="587"/>
      <c r="T21" s="589"/>
      <c r="U21" s="585">
        <v>19</v>
      </c>
      <c r="V21" s="586" t="s">
        <v>159</v>
      </c>
      <c r="W21" s="587"/>
      <c r="X21" s="594" t="s">
        <v>143</v>
      </c>
    </row>
    <row r="22" spans="1:24">
      <c r="A22" s="585">
        <v>20</v>
      </c>
      <c r="B22" s="586" t="s">
        <v>158</v>
      </c>
      <c r="C22" s="587"/>
      <c r="D22" s="589"/>
      <c r="E22" s="585">
        <v>20</v>
      </c>
      <c r="F22" s="586" t="s">
        <v>154</v>
      </c>
      <c r="G22" s="587"/>
      <c r="H22" s="594"/>
      <c r="I22" s="590">
        <v>20</v>
      </c>
      <c r="J22" s="591" t="s">
        <v>155</v>
      </c>
      <c r="K22" s="592"/>
      <c r="L22" s="595" t="s">
        <v>143</v>
      </c>
      <c r="M22" s="590">
        <v>20</v>
      </c>
      <c r="N22" s="591" t="s">
        <v>156</v>
      </c>
      <c r="O22" s="592" t="s">
        <v>326</v>
      </c>
      <c r="P22" s="593">
        <v>21</v>
      </c>
      <c r="Q22" s="585">
        <v>20</v>
      </c>
      <c r="R22" s="586" t="s">
        <v>157</v>
      </c>
      <c r="S22" s="587"/>
      <c r="T22" s="589" t="s">
        <v>143</v>
      </c>
      <c r="U22" s="590">
        <v>20</v>
      </c>
      <c r="V22" s="591" t="s">
        <v>155</v>
      </c>
      <c r="W22" s="592"/>
      <c r="X22" s="593" t="s">
        <v>143</v>
      </c>
    </row>
    <row r="23" spans="1:24">
      <c r="A23" s="585">
        <v>21</v>
      </c>
      <c r="B23" s="586" t="s">
        <v>154</v>
      </c>
      <c r="C23" s="587"/>
      <c r="D23" s="589" t="s">
        <v>143</v>
      </c>
      <c r="E23" s="585">
        <v>21</v>
      </c>
      <c r="F23" s="586" t="s">
        <v>157</v>
      </c>
      <c r="G23" s="587"/>
      <c r="H23" s="594" t="s">
        <v>143</v>
      </c>
      <c r="I23" s="590">
        <v>21</v>
      </c>
      <c r="J23" s="591" t="s">
        <v>160</v>
      </c>
      <c r="K23" s="592"/>
      <c r="L23" s="595" t="s">
        <v>143</v>
      </c>
      <c r="M23" s="585">
        <v>21</v>
      </c>
      <c r="N23" s="586" t="s">
        <v>158</v>
      </c>
      <c r="O23" s="587"/>
      <c r="P23" s="594" t="s">
        <v>143</v>
      </c>
      <c r="Q23" s="585">
        <v>21</v>
      </c>
      <c r="R23" s="586" t="s">
        <v>159</v>
      </c>
      <c r="S23" s="587"/>
      <c r="T23" s="589" t="s">
        <v>143</v>
      </c>
      <c r="U23" s="590">
        <v>21</v>
      </c>
      <c r="V23" s="591" t="s">
        <v>160</v>
      </c>
      <c r="W23" s="592"/>
      <c r="X23" s="593" t="s">
        <v>143</v>
      </c>
    </row>
    <row r="24" spans="1:24">
      <c r="A24" s="585">
        <v>22</v>
      </c>
      <c r="B24" s="586" t="s">
        <v>157</v>
      </c>
      <c r="C24" s="587"/>
      <c r="D24" s="589" t="s">
        <v>143</v>
      </c>
      <c r="E24" s="585">
        <v>22</v>
      </c>
      <c r="F24" s="586" t="s">
        <v>159</v>
      </c>
      <c r="G24" s="587"/>
      <c r="H24" s="594" t="s">
        <v>143</v>
      </c>
      <c r="I24" s="585">
        <v>22</v>
      </c>
      <c r="J24" s="586" t="s">
        <v>156</v>
      </c>
      <c r="K24" s="587"/>
      <c r="L24" s="589">
        <v>17</v>
      </c>
      <c r="M24" s="585">
        <v>22</v>
      </c>
      <c r="N24" s="586" t="s">
        <v>154</v>
      </c>
      <c r="O24" s="587"/>
      <c r="P24" s="594"/>
      <c r="Q24" s="590">
        <v>22</v>
      </c>
      <c r="R24" s="591" t="s">
        <v>155</v>
      </c>
      <c r="S24" s="592"/>
      <c r="T24" s="595" t="s">
        <v>143</v>
      </c>
      <c r="U24" s="585">
        <v>22</v>
      </c>
      <c r="V24" s="586" t="s">
        <v>156</v>
      </c>
      <c r="W24" s="587"/>
      <c r="X24" s="594">
        <v>30</v>
      </c>
    </row>
    <row r="25" spans="1:24">
      <c r="A25" s="585">
        <v>23</v>
      </c>
      <c r="B25" s="586" t="s">
        <v>159</v>
      </c>
      <c r="C25" s="587"/>
      <c r="D25" s="589" t="s">
        <v>143</v>
      </c>
      <c r="E25" s="590">
        <v>23</v>
      </c>
      <c r="F25" s="591" t="s">
        <v>155</v>
      </c>
      <c r="G25" s="592"/>
      <c r="H25" s="593" t="s">
        <v>143</v>
      </c>
      <c r="I25" s="585">
        <v>23</v>
      </c>
      <c r="J25" s="586" t="s">
        <v>158</v>
      </c>
      <c r="K25" s="587"/>
      <c r="L25" s="589" t="s">
        <v>143</v>
      </c>
      <c r="M25" s="585">
        <v>23</v>
      </c>
      <c r="N25" s="586" t="s">
        <v>157</v>
      </c>
      <c r="O25" s="587"/>
      <c r="P25" s="594" t="s">
        <v>143</v>
      </c>
      <c r="Q25" s="590">
        <v>23</v>
      </c>
      <c r="R25" s="591" t="s">
        <v>160</v>
      </c>
      <c r="S25" s="592"/>
      <c r="T25" s="595" t="s">
        <v>143</v>
      </c>
      <c r="U25" s="585">
        <v>23</v>
      </c>
      <c r="V25" s="586" t="s">
        <v>158</v>
      </c>
      <c r="W25" s="587"/>
      <c r="X25" s="594" t="s">
        <v>143</v>
      </c>
    </row>
    <row r="26" spans="1:24">
      <c r="A26" s="590">
        <v>24</v>
      </c>
      <c r="B26" s="591" t="s">
        <v>155</v>
      </c>
      <c r="C26" s="592"/>
      <c r="D26" s="595" t="s">
        <v>143</v>
      </c>
      <c r="E26" s="590">
        <v>24</v>
      </c>
      <c r="F26" s="591" t="s">
        <v>160</v>
      </c>
      <c r="G26" s="592" t="s">
        <v>179</v>
      </c>
      <c r="H26" s="593" t="s">
        <v>143</v>
      </c>
      <c r="I26" s="585">
        <v>24</v>
      </c>
      <c r="J26" s="586" t="s">
        <v>154</v>
      </c>
      <c r="K26" s="587"/>
      <c r="L26" s="589"/>
      <c r="M26" s="585">
        <v>24</v>
      </c>
      <c r="N26" s="586" t="s">
        <v>159</v>
      </c>
      <c r="O26" s="587"/>
      <c r="P26" s="594" t="s">
        <v>143</v>
      </c>
      <c r="Q26" s="585">
        <v>24</v>
      </c>
      <c r="R26" s="586" t="s">
        <v>156</v>
      </c>
      <c r="S26" s="587"/>
      <c r="T26" s="589">
        <v>26</v>
      </c>
      <c r="U26" s="585">
        <v>24</v>
      </c>
      <c r="V26" s="586" t="s">
        <v>154</v>
      </c>
      <c r="W26" s="587"/>
      <c r="X26" s="594"/>
    </row>
    <row r="27" spans="1:24">
      <c r="A27" s="590">
        <v>25</v>
      </c>
      <c r="B27" s="591" t="s">
        <v>160</v>
      </c>
      <c r="C27" s="592"/>
      <c r="D27" s="595" t="s">
        <v>143</v>
      </c>
      <c r="E27" s="585">
        <v>25</v>
      </c>
      <c r="F27" s="586" t="s">
        <v>156</v>
      </c>
      <c r="G27" s="587"/>
      <c r="H27" s="594">
        <v>13</v>
      </c>
      <c r="I27" s="585">
        <v>25</v>
      </c>
      <c r="J27" s="586" t="s">
        <v>157</v>
      </c>
      <c r="K27" s="587"/>
      <c r="L27" s="589" t="s">
        <v>143</v>
      </c>
      <c r="M27" s="590">
        <v>25</v>
      </c>
      <c r="N27" s="591" t="s">
        <v>155</v>
      </c>
      <c r="O27" s="592"/>
      <c r="P27" s="593" t="s">
        <v>143</v>
      </c>
      <c r="Q27" s="585">
        <v>25</v>
      </c>
      <c r="R27" s="586" t="s">
        <v>158</v>
      </c>
      <c r="S27" s="587"/>
      <c r="T27" s="589" t="s">
        <v>143</v>
      </c>
      <c r="U27" s="585">
        <v>25</v>
      </c>
      <c r="V27" s="586" t="s">
        <v>157</v>
      </c>
      <c r="W27" s="587"/>
      <c r="X27" s="594" t="s">
        <v>143</v>
      </c>
    </row>
    <row r="28" spans="1:24">
      <c r="A28" s="585">
        <v>26</v>
      </c>
      <c r="B28" s="586" t="s">
        <v>156</v>
      </c>
      <c r="C28" s="587"/>
      <c r="D28" s="589">
        <v>9</v>
      </c>
      <c r="E28" s="585">
        <v>26</v>
      </c>
      <c r="F28" s="586" t="s">
        <v>158</v>
      </c>
      <c r="G28" s="587"/>
      <c r="H28" s="594" t="s">
        <v>143</v>
      </c>
      <c r="I28" s="585">
        <v>26</v>
      </c>
      <c r="J28" s="586" t="s">
        <v>159</v>
      </c>
      <c r="K28" s="587"/>
      <c r="L28" s="589" t="s">
        <v>143</v>
      </c>
      <c r="M28" s="590">
        <v>26</v>
      </c>
      <c r="N28" s="591" t="s">
        <v>160</v>
      </c>
      <c r="O28" s="592"/>
      <c r="P28" s="593" t="s">
        <v>143</v>
      </c>
      <c r="Q28" s="585">
        <v>26</v>
      </c>
      <c r="R28" s="586" t="s">
        <v>154</v>
      </c>
      <c r="S28" s="587"/>
      <c r="T28" s="589"/>
      <c r="U28" s="585">
        <v>26</v>
      </c>
      <c r="V28" s="586" t="s">
        <v>159</v>
      </c>
      <c r="W28" s="587"/>
      <c r="X28" s="594" t="s">
        <v>143</v>
      </c>
    </row>
    <row r="29" spans="1:24">
      <c r="A29" s="585">
        <v>27</v>
      </c>
      <c r="B29" s="586" t="s">
        <v>158</v>
      </c>
      <c r="C29" s="587"/>
      <c r="D29" s="589"/>
      <c r="E29" s="585">
        <v>27</v>
      </c>
      <c r="F29" s="586" t="s">
        <v>154</v>
      </c>
      <c r="G29" s="587"/>
      <c r="H29" s="594"/>
      <c r="I29" s="590">
        <v>27</v>
      </c>
      <c r="J29" s="591" t="s">
        <v>155</v>
      </c>
      <c r="K29" s="592"/>
      <c r="L29" s="595" t="s">
        <v>143</v>
      </c>
      <c r="M29" s="585">
        <v>27</v>
      </c>
      <c r="N29" s="586" t="s">
        <v>156</v>
      </c>
      <c r="O29" s="587"/>
      <c r="P29" s="594">
        <v>22</v>
      </c>
      <c r="Q29" s="585">
        <v>27</v>
      </c>
      <c r="R29" s="586" t="s">
        <v>157</v>
      </c>
      <c r="S29" s="587"/>
      <c r="T29" s="589" t="s">
        <v>143</v>
      </c>
      <c r="U29" s="590">
        <v>27</v>
      </c>
      <c r="V29" s="591" t="s">
        <v>155</v>
      </c>
      <c r="W29" s="592"/>
      <c r="X29" s="593" t="s">
        <v>143</v>
      </c>
    </row>
    <row r="30" spans="1:24">
      <c r="A30" s="585">
        <v>28</v>
      </c>
      <c r="B30" s="586" t="s">
        <v>154</v>
      </c>
      <c r="C30" s="587"/>
      <c r="D30" s="594" t="s">
        <v>143</v>
      </c>
      <c r="E30" s="590">
        <v>28</v>
      </c>
      <c r="F30" s="591" t="s">
        <v>157</v>
      </c>
      <c r="G30" s="592" t="s">
        <v>106</v>
      </c>
      <c r="H30" s="593" t="s">
        <v>143</v>
      </c>
      <c r="I30" s="590">
        <v>28</v>
      </c>
      <c r="J30" s="591" t="s">
        <v>160</v>
      </c>
      <c r="K30" s="592"/>
      <c r="L30" s="595" t="s">
        <v>143</v>
      </c>
      <c r="M30" s="585">
        <v>28</v>
      </c>
      <c r="N30" s="586" t="s">
        <v>158</v>
      </c>
      <c r="O30" s="587"/>
      <c r="P30" s="594" t="s">
        <v>143</v>
      </c>
      <c r="Q30" s="585">
        <v>28</v>
      </c>
      <c r="R30" s="586" t="s">
        <v>159</v>
      </c>
      <c r="S30" s="587"/>
      <c r="T30" s="589" t="s">
        <v>143</v>
      </c>
      <c r="U30" s="590">
        <v>28</v>
      </c>
      <c r="V30" s="591" t="s">
        <v>160</v>
      </c>
      <c r="W30" s="592"/>
      <c r="X30" s="593" t="s">
        <v>143</v>
      </c>
    </row>
    <row r="31" spans="1:24">
      <c r="A31" s="585">
        <v>29</v>
      </c>
      <c r="B31" s="586" t="s">
        <v>157</v>
      </c>
      <c r="C31" s="587"/>
      <c r="D31" s="594"/>
      <c r="E31" s="590">
        <v>29</v>
      </c>
      <c r="F31" s="591" t="s">
        <v>159</v>
      </c>
      <c r="G31" s="592" t="s">
        <v>168</v>
      </c>
      <c r="H31" s="593" t="s">
        <v>143</v>
      </c>
      <c r="I31" s="585">
        <v>29</v>
      </c>
      <c r="J31" s="586" t="s">
        <v>156</v>
      </c>
      <c r="K31" s="587"/>
      <c r="L31" s="589">
        <v>18</v>
      </c>
      <c r="M31" s="585">
        <v>29</v>
      </c>
      <c r="N31" s="586" t="s">
        <v>154</v>
      </c>
      <c r="O31" s="587"/>
      <c r="P31" s="594"/>
      <c r="Q31" s="590">
        <v>29</v>
      </c>
      <c r="R31" s="591" t="s">
        <v>155</v>
      </c>
      <c r="S31" s="592"/>
      <c r="T31" s="595" t="s">
        <v>143</v>
      </c>
      <c r="U31" s="585">
        <v>29</v>
      </c>
      <c r="V31" s="586" t="s">
        <v>156</v>
      </c>
      <c r="W31" s="587"/>
      <c r="X31" s="594">
        <v>31</v>
      </c>
    </row>
    <row r="32" spans="1:24">
      <c r="A32" s="201"/>
      <c r="B32" s="202"/>
      <c r="C32" s="203"/>
      <c r="D32" s="212"/>
      <c r="E32" s="590">
        <v>30</v>
      </c>
      <c r="F32" s="591" t="s">
        <v>155</v>
      </c>
      <c r="G32" s="592"/>
      <c r="H32" s="593" t="s">
        <v>143</v>
      </c>
      <c r="I32" s="585">
        <v>30</v>
      </c>
      <c r="J32" s="586" t="s">
        <v>158</v>
      </c>
      <c r="K32" s="587"/>
      <c r="L32" s="589" t="s">
        <v>143</v>
      </c>
      <c r="M32" s="585">
        <v>30</v>
      </c>
      <c r="N32" s="586" t="s">
        <v>157</v>
      </c>
      <c r="O32" s="587"/>
      <c r="P32" s="594" t="s">
        <v>143</v>
      </c>
      <c r="Q32" s="590">
        <v>30</v>
      </c>
      <c r="R32" s="591" t="s">
        <v>160</v>
      </c>
      <c r="S32" s="592"/>
      <c r="T32" s="595" t="s">
        <v>143</v>
      </c>
      <c r="U32" s="585">
        <v>30</v>
      </c>
      <c r="V32" s="586" t="s">
        <v>158</v>
      </c>
      <c r="W32" s="587"/>
      <c r="X32" s="594" t="s">
        <v>143</v>
      </c>
    </row>
    <row r="33" spans="1:24">
      <c r="A33" s="208"/>
      <c r="B33" s="209"/>
      <c r="C33" s="210"/>
      <c r="D33" s="211"/>
      <c r="E33" s="604">
        <v>31</v>
      </c>
      <c r="F33" s="605" t="s">
        <v>160</v>
      </c>
      <c r="G33" s="608" t="s">
        <v>115</v>
      </c>
      <c r="H33" s="607" t="s">
        <v>143</v>
      </c>
      <c r="I33" s="208"/>
      <c r="J33" s="209"/>
      <c r="K33" s="210"/>
      <c r="L33" s="211"/>
      <c r="M33" s="600">
        <v>31</v>
      </c>
      <c r="N33" s="601" t="s">
        <v>159</v>
      </c>
      <c r="O33" s="602"/>
      <c r="P33" s="603" t="s">
        <v>143</v>
      </c>
      <c r="Q33" s="208"/>
      <c r="R33" s="209"/>
      <c r="S33" s="210"/>
      <c r="T33" s="211"/>
      <c r="U33" s="600">
        <v>31</v>
      </c>
      <c r="V33" s="601" t="s">
        <v>154</v>
      </c>
      <c r="W33" s="602"/>
      <c r="X33" s="603"/>
    </row>
  </sheetData>
  <mergeCells count="2">
    <mergeCell ref="A1:X1"/>
    <mergeCell ref="O20:P20"/>
  </mergeCell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215DB-DEA5-C94D-B3BE-3DBDEF43D8C7}">
  <sheetPr>
    <tabColor rgb="FFFFFF00"/>
  </sheetPr>
  <dimension ref="A1:J18"/>
  <sheetViews>
    <sheetView workbookViewId="0">
      <selection activeCell="A17" sqref="A17:J17"/>
    </sheetView>
  </sheetViews>
  <sheetFormatPr baseColWidth="10" defaultRowHeight="16"/>
  <sheetData>
    <row r="1" spans="1:10" ht="55" customHeight="1">
      <c r="A1" s="688" t="s">
        <v>594</v>
      </c>
      <c r="B1" s="688"/>
      <c r="C1" s="688"/>
      <c r="D1" s="688"/>
      <c r="E1" s="688"/>
      <c r="F1" s="688"/>
      <c r="G1" s="688"/>
      <c r="H1" s="688"/>
      <c r="I1" s="688"/>
      <c r="J1" s="688"/>
    </row>
    <row r="2" spans="1:10">
      <c r="A2" s="682"/>
      <c r="B2" s="682"/>
      <c r="C2" s="682"/>
      <c r="D2" s="682"/>
      <c r="E2" s="682"/>
      <c r="F2" s="682"/>
      <c r="G2" s="682"/>
      <c r="H2" s="682"/>
      <c r="I2" s="682"/>
      <c r="J2" s="682"/>
    </row>
    <row r="3" spans="1:10" ht="21">
      <c r="A3" s="684" t="s">
        <v>585</v>
      </c>
      <c r="B3" s="684"/>
      <c r="C3" s="684"/>
      <c r="D3" s="684"/>
      <c r="E3" s="684"/>
      <c r="F3" s="684"/>
      <c r="G3" s="684"/>
      <c r="H3" s="684"/>
      <c r="I3" s="684"/>
      <c r="J3" s="684"/>
    </row>
    <row r="4" spans="1:10">
      <c r="A4" s="686" t="s">
        <v>586</v>
      </c>
      <c r="B4" s="686"/>
      <c r="C4" s="686"/>
      <c r="D4" s="686"/>
      <c r="E4" s="686"/>
      <c r="F4" s="686"/>
      <c r="G4" s="686"/>
      <c r="H4" s="686"/>
      <c r="I4" s="686"/>
      <c r="J4" s="686"/>
    </row>
    <row r="5" spans="1:10">
      <c r="A5" s="686"/>
      <c r="B5" s="686"/>
      <c r="C5" s="686"/>
      <c r="D5" s="686"/>
      <c r="E5" s="686"/>
      <c r="F5" s="686"/>
      <c r="G5" s="686"/>
      <c r="H5" s="686"/>
      <c r="I5" s="686"/>
      <c r="J5" s="686"/>
    </row>
    <row r="6" spans="1:10" ht="21">
      <c r="A6" s="684" t="s">
        <v>569</v>
      </c>
      <c r="B6" s="684"/>
      <c r="C6" s="684"/>
      <c r="D6" s="684"/>
      <c r="E6" s="684"/>
      <c r="F6" s="684"/>
      <c r="G6" s="684"/>
      <c r="H6" s="684"/>
      <c r="I6" s="684"/>
      <c r="J6" s="684"/>
    </row>
    <row r="7" spans="1:10">
      <c r="A7" s="686" t="s">
        <v>587</v>
      </c>
      <c r="B7" s="686"/>
      <c r="C7" s="686"/>
      <c r="D7" s="686"/>
      <c r="E7" s="686"/>
      <c r="F7" s="686"/>
      <c r="G7" s="686"/>
      <c r="H7" s="686"/>
      <c r="I7" s="686"/>
      <c r="J7" s="686"/>
    </row>
    <row r="8" spans="1:10">
      <c r="A8" s="686"/>
      <c r="B8" s="686"/>
      <c r="C8" s="686"/>
      <c r="D8" s="686"/>
      <c r="E8" s="686"/>
      <c r="F8" s="686"/>
      <c r="G8" s="686"/>
      <c r="H8" s="686"/>
      <c r="I8" s="686"/>
      <c r="J8" s="686"/>
    </row>
    <row r="9" spans="1:10" ht="21">
      <c r="A9" s="684" t="s">
        <v>588</v>
      </c>
      <c r="B9" s="684"/>
      <c r="C9" s="684"/>
      <c r="D9" s="684"/>
      <c r="E9" s="684"/>
      <c r="F9" s="684"/>
      <c r="G9" s="684"/>
      <c r="H9" s="684"/>
      <c r="I9" s="684"/>
      <c r="J9" s="684"/>
    </row>
    <row r="10" spans="1:10">
      <c r="A10" s="686" t="s">
        <v>589</v>
      </c>
      <c r="B10" s="686"/>
      <c r="C10" s="686"/>
      <c r="D10" s="686"/>
      <c r="E10" s="686"/>
      <c r="F10" s="686"/>
      <c r="G10" s="686"/>
      <c r="H10" s="686"/>
      <c r="I10" s="686"/>
      <c r="J10" s="686"/>
    </row>
    <row r="11" spans="1:10">
      <c r="A11" s="682"/>
      <c r="B11" s="682"/>
      <c r="C11" s="682"/>
      <c r="D11" s="682"/>
      <c r="E11" s="682"/>
      <c r="F11" s="682"/>
      <c r="G11" s="682"/>
      <c r="H11" s="682"/>
      <c r="I11" s="682"/>
      <c r="J11" s="682"/>
    </row>
    <row r="12" spans="1:10" ht="21">
      <c r="A12" s="684" t="s">
        <v>590</v>
      </c>
      <c r="B12" s="684"/>
      <c r="C12" s="684"/>
      <c r="D12" s="684"/>
      <c r="E12" s="684"/>
      <c r="F12" s="684"/>
      <c r="G12" s="684"/>
      <c r="H12" s="684"/>
      <c r="I12" s="684"/>
      <c r="J12" s="684"/>
    </row>
    <row r="13" spans="1:10" ht="54" customHeight="1">
      <c r="A13" s="685" t="s">
        <v>591</v>
      </c>
      <c r="B13" s="685"/>
      <c r="C13" s="685"/>
      <c r="D13" s="685"/>
      <c r="E13" s="685"/>
      <c r="F13" s="685"/>
      <c r="G13" s="685"/>
      <c r="H13" s="685"/>
      <c r="I13" s="685"/>
      <c r="J13" s="685"/>
    </row>
    <row r="14" spans="1:10" ht="54" customHeight="1">
      <c r="A14" s="685" t="s">
        <v>592</v>
      </c>
      <c r="B14" s="685"/>
      <c r="C14" s="685"/>
      <c r="D14" s="685"/>
      <c r="E14" s="685"/>
      <c r="F14" s="685"/>
      <c r="G14" s="685"/>
      <c r="H14" s="685"/>
      <c r="I14" s="685"/>
      <c r="J14" s="685"/>
    </row>
    <row r="16" spans="1:10" ht="21">
      <c r="A16" s="684" t="s">
        <v>572</v>
      </c>
      <c r="B16" s="684"/>
      <c r="C16" s="684"/>
      <c r="D16" s="684"/>
      <c r="E16" s="684"/>
      <c r="F16" s="684"/>
      <c r="G16" s="684"/>
      <c r="H16" s="684"/>
      <c r="I16" s="684"/>
      <c r="J16" s="684"/>
    </row>
    <row r="17" spans="1:10" ht="41" customHeight="1">
      <c r="A17" s="685" t="s">
        <v>595</v>
      </c>
      <c r="B17" s="685"/>
      <c r="C17" s="685"/>
      <c r="D17" s="685"/>
      <c r="E17" s="685"/>
      <c r="F17" s="685"/>
      <c r="G17" s="685"/>
      <c r="H17" s="685"/>
      <c r="I17" s="685"/>
      <c r="J17" s="685"/>
    </row>
    <row r="18" spans="1:10" ht="68" customHeight="1">
      <c r="A18" s="685" t="s">
        <v>593</v>
      </c>
      <c r="B18" s="685"/>
      <c r="C18" s="685"/>
      <c r="D18" s="685"/>
      <c r="E18" s="685"/>
      <c r="F18" s="685"/>
      <c r="G18" s="685"/>
      <c r="H18" s="685"/>
      <c r="I18" s="685"/>
      <c r="J18" s="685"/>
    </row>
  </sheetData>
  <sheetProtection sheet="1" objects="1" scenarios="1"/>
  <mergeCells count="17">
    <mergeCell ref="A13:J13"/>
    <mergeCell ref="A14:J14"/>
    <mergeCell ref="A16:J16"/>
    <mergeCell ref="A17:J17"/>
    <mergeCell ref="A18:J18"/>
    <mergeCell ref="A12:J12"/>
    <mergeCell ref="A1:J1"/>
    <mergeCell ref="A2:J2"/>
    <mergeCell ref="A3:J3"/>
    <mergeCell ref="A4:J4"/>
    <mergeCell ref="A6:J6"/>
    <mergeCell ref="A7:J7"/>
    <mergeCell ref="A9:J9"/>
    <mergeCell ref="A10:J10"/>
    <mergeCell ref="A5:J5"/>
    <mergeCell ref="A8:J8"/>
    <mergeCell ref="A11:J1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BC5-A41B-CD42-BFBD-997205AD5C08}">
  <sheetPr>
    <tabColor theme="4" tint="-0.249977111117893"/>
    <pageSetUpPr fitToPage="1"/>
  </sheetPr>
  <dimension ref="A1:I37"/>
  <sheetViews>
    <sheetView tabSelected="1" zoomScale="114" workbookViewId="0">
      <selection activeCell="B13" sqref="B13:D13"/>
    </sheetView>
  </sheetViews>
  <sheetFormatPr baseColWidth="10" defaultRowHeight="16"/>
  <cols>
    <col min="4" max="4" width="23.83203125" customWidth="1"/>
    <col min="9" max="9" width="71.5" hidden="1" customWidth="1"/>
    <col min="10" max="11" width="0" hidden="1" customWidth="1"/>
  </cols>
  <sheetData>
    <row r="1" spans="1:9" ht="80" customHeight="1">
      <c r="A1" s="691"/>
      <c r="B1" s="691"/>
      <c r="C1" s="689" t="s">
        <v>400</v>
      </c>
      <c r="D1" s="689"/>
      <c r="E1" s="689"/>
      <c r="F1" s="689"/>
      <c r="G1" s="689"/>
      <c r="H1" s="689"/>
    </row>
    <row r="2" spans="1:9" ht="122" customHeight="1">
      <c r="A2" s="691"/>
      <c r="B2" s="691"/>
      <c r="C2" s="689" t="s">
        <v>401</v>
      </c>
      <c r="D2" s="689"/>
      <c r="E2" s="689"/>
      <c r="F2" s="689"/>
      <c r="G2" s="689"/>
      <c r="H2" s="689"/>
    </row>
    <row r="3" spans="1:9" ht="115" customHeight="1">
      <c r="A3" s="691"/>
      <c r="B3" s="691"/>
      <c r="C3" s="689" t="s">
        <v>549</v>
      </c>
      <c r="D3" s="689"/>
      <c r="E3" s="689"/>
      <c r="F3" s="689"/>
      <c r="G3" s="689"/>
      <c r="H3" s="689"/>
    </row>
    <row r="4" spans="1:9" ht="59" customHeight="1" thickBot="1">
      <c r="A4" s="692"/>
      <c r="B4" s="692"/>
      <c r="C4" s="690" t="s">
        <v>363</v>
      </c>
      <c r="D4" s="690"/>
      <c r="E4" s="690"/>
      <c r="F4" s="690"/>
      <c r="G4" s="690"/>
      <c r="H4" s="690"/>
    </row>
    <row r="5" spans="1:9" ht="24">
      <c r="A5" s="716" t="s">
        <v>386</v>
      </c>
      <c r="B5" s="732" t="s">
        <v>4</v>
      </c>
      <c r="C5" s="733"/>
      <c r="D5" s="733"/>
      <c r="E5" s="733"/>
      <c r="F5" s="733"/>
      <c r="G5" s="733"/>
      <c r="H5" s="734"/>
    </row>
    <row r="6" spans="1:9" ht="32" customHeight="1">
      <c r="A6" s="717"/>
      <c r="B6" s="349" t="s">
        <v>67</v>
      </c>
      <c r="C6" s="350"/>
      <c r="D6" s="350"/>
      <c r="E6" s="350"/>
      <c r="F6" s="350" t="str">
        <f>Vejledning!B2</f>
        <v>2023-2024</v>
      </c>
      <c r="G6" s="350"/>
      <c r="H6" s="351"/>
    </row>
    <row r="7" spans="1:9">
      <c r="A7" s="717"/>
      <c r="B7" s="735" t="s">
        <v>24</v>
      </c>
      <c r="C7" s="735"/>
      <c r="D7" s="735"/>
      <c r="E7" s="736"/>
      <c r="F7" s="737"/>
      <c r="G7" s="737"/>
      <c r="H7" s="738"/>
    </row>
    <row r="8" spans="1:9">
      <c r="A8" s="717"/>
      <c r="B8" s="735" t="s">
        <v>53</v>
      </c>
      <c r="C8" s="735"/>
      <c r="D8" s="735"/>
      <c r="E8" s="736"/>
      <c r="F8" s="737"/>
      <c r="G8" s="737"/>
      <c r="H8" s="738"/>
    </row>
    <row r="9" spans="1:9">
      <c r="A9" s="717"/>
      <c r="B9" s="739" t="s">
        <v>29</v>
      </c>
      <c r="C9" s="740"/>
      <c r="D9" s="741"/>
      <c r="E9" s="748" t="s">
        <v>27</v>
      </c>
      <c r="F9" s="749"/>
      <c r="G9" s="748" t="s">
        <v>28</v>
      </c>
      <c r="H9" s="750"/>
    </row>
    <row r="10" spans="1:9">
      <c r="A10" s="717"/>
      <c r="B10" s="742"/>
      <c r="C10" s="743"/>
      <c r="D10" s="744"/>
      <c r="E10" s="751" t="s">
        <v>355</v>
      </c>
      <c r="F10" s="752"/>
      <c r="G10" s="751" t="str">
        <f>E10</f>
        <v>Dato format dd.mm.åååå</v>
      </c>
      <c r="H10" s="753"/>
    </row>
    <row r="11" spans="1:9">
      <c r="A11" s="717"/>
      <c r="B11" s="745"/>
      <c r="C11" s="746"/>
      <c r="D11" s="747"/>
      <c r="E11" s="697"/>
      <c r="F11" s="754"/>
      <c r="G11" s="697"/>
      <c r="H11" s="699"/>
    </row>
    <row r="12" spans="1:9" ht="73" customHeight="1">
      <c r="A12" s="717"/>
      <c r="B12" s="694" t="s">
        <v>446</v>
      </c>
      <c r="C12" s="695"/>
      <c r="D12" s="696"/>
      <c r="E12" s="697" t="s">
        <v>187</v>
      </c>
      <c r="F12" s="698"/>
      <c r="G12" s="698"/>
      <c r="H12" s="699"/>
    </row>
    <row r="13" spans="1:9" ht="35" customHeight="1">
      <c r="A13" s="717"/>
      <c r="B13" s="712" t="s">
        <v>477</v>
      </c>
      <c r="C13" s="712"/>
      <c r="D13" s="712"/>
      <c r="E13" s="719"/>
      <c r="F13" s="720"/>
      <c r="G13" s="720"/>
      <c r="H13" s="721"/>
      <c r="I13" s="44" t="s">
        <v>187</v>
      </c>
    </row>
    <row r="14" spans="1:9" ht="35" customHeight="1">
      <c r="A14" s="717"/>
      <c r="B14" s="704" t="s">
        <v>374</v>
      </c>
      <c r="C14" s="705"/>
      <c r="D14" s="706"/>
      <c r="E14" s="719" t="s">
        <v>188</v>
      </c>
      <c r="F14" s="720"/>
      <c r="G14" s="720"/>
      <c r="H14" s="721"/>
      <c r="I14" s="44" t="s">
        <v>188</v>
      </c>
    </row>
    <row r="15" spans="1:9" ht="17" thickBot="1">
      <c r="A15" s="717"/>
      <c r="B15" s="704" t="s">
        <v>186</v>
      </c>
      <c r="C15" s="705"/>
      <c r="D15" s="706"/>
      <c r="E15" s="728">
        <f>IF(E14="Ja",E13*33.63/37,E13)</f>
        <v>0</v>
      </c>
      <c r="F15" s="729"/>
      <c r="G15" s="729"/>
      <c r="H15" s="730"/>
      <c r="I15" s="44"/>
    </row>
    <row r="16" spans="1:9" ht="30" customHeight="1" thickBot="1">
      <c r="A16" s="731"/>
      <c r="B16" s="731"/>
      <c r="C16" s="731"/>
      <c r="D16" s="731"/>
      <c r="E16" s="731"/>
      <c r="F16" s="731"/>
      <c r="G16" s="731"/>
      <c r="H16" s="731"/>
    </row>
    <row r="17" spans="1:9" ht="32" customHeight="1">
      <c r="A17" s="716" t="s">
        <v>387</v>
      </c>
      <c r="B17" s="700" t="s">
        <v>259</v>
      </c>
      <c r="C17" s="701"/>
      <c r="D17" s="701"/>
      <c r="E17" s="701"/>
      <c r="F17" s="701"/>
      <c r="G17" s="701"/>
      <c r="H17" s="702"/>
      <c r="I17" s="436" t="s">
        <v>338</v>
      </c>
    </row>
    <row r="18" spans="1:9" ht="20" customHeight="1">
      <c r="A18" s="717"/>
      <c r="B18" s="333" t="s">
        <v>260</v>
      </c>
      <c r="C18" s="244"/>
      <c r="D18" s="244"/>
      <c r="E18" s="244"/>
      <c r="F18" s="244"/>
      <c r="G18" s="244"/>
      <c r="H18" s="328"/>
      <c r="I18" s="436" t="s">
        <v>402</v>
      </c>
    </row>
    <row r="19" spans="1:9" ht="65" customHeight="1">
      <c r="A19" s="717"/>
      <c r="B19" s="722" t="s">
        <v>514</v>
      </c>
      <c r="C19" s="723"/>
      <c r="D19" s="723"/>
      <c r="E19" s="723"/>
      <c r="F19" s="723"/>
      <c r="G19" s="723"/>
      <c r="H19" s="724"/>
      <c r="I19" s="436" t="s">
        <v>403</v>
      </c>
    </row>
    <row r="20" spans="1:9" ht="38" customHeight="1">
      <c r="A20" s="717"/>
      <c r="B20" s="722" t="s">
        <v>340</v>
      </c>
      <c r="C20" s="723"/>
      <c r="D20" s="723"/>
      <c r="E20" s="723"/>
      <c r="F20" s="723"/>
      <c r="G20" s="723"/>
      <c r="H20" s="724"/>
      <c r="I20" s="436" t="s">
        <v>339</v>
      </c>
    </row>
    <row r="21" spans="1:9" ht="19" customHeight="1">
      <c r="A21" s="717"/>
      <c r="B21" s="709" t="s">
        <v>341</v>
      </c>
      <c r="C21" s="710"/>
      <c r="D21" s="710"/>
      <c r="E21" s="710"/>
      <c r="F21" s="710"/>
      <c r="G21" s="710"/>
      <c r="H21" s="711"/>
      <c r="I21" s="436" t="s">
        <v>345</v>
      </c>
    </row>
    <row r="22" spans="1:9" ht="30" customHeight="1">
      <c r="A22" s="717"/>
      <c r="B22" s="713" t="s">
        <v>338</v>
      </c>
      <c r="C22" s="714"/>
      <c r="D22" s="714"/>
      <c r="E22" s="714"/>
      <c r="F22" s="714"/>
      <c r="G22" s="714"/>
      <c r="H22" s="715"/>
      <c r="I22" s="436" t="s">
        <v>404</v>
      </c>
    </row>
    <row r="23" spans="1:9" ht="16" customHeight="1">
      <c r="A23" s="717"/>
      <c r="B23" s="725" t="s">
        <v>261</v>
      </c>
      <c r="C23" s="726"/>
      <c r="D23" s="726"/>
      <c r="E23" s="726"/>
      <c r="F23" s="726"/>
      <c r="G23" s="726"/>
      <c r="H23" s="727"/>
      <c r="I23" s="436" t="s">
        <v>405</v>
      </c>
    </row>
    <row r="24" spans="1:9" ht="70" customHeight="1">
      <c r="A24" s="717"/>
      <c r="B24" s="722" t="s">
        <v>515</v>
      </c>
      <c r="C24" s="723"/>
      <c r="D24" s="723"/>
      <c r="E24" s="723"/>
      <c r="F24" s="723"/>
      <c r="G24" s="723"/>
      <c r="H24" s="724"/>
      <c r="I24" s="436" t="s">
        <v>406</v>
      </c>
    </row>
    <row r="25" spans="1:9" ht="20" customHeight="1">
      <c r="A25" s="717"/>
      <c r="B25" s="709" t="s">
        <v>341</v>
      </c>
      <c r="C25" s="710"/>
      <c r="D25" s="710"/>
      <c r="E25" s="710"/>
      <c r="F25" s="710"/>
      <c r="G25" s="710"/>
      <c r="H25" s="711"/>
      <c r="I25" s="436" t="s">
        <v>407</v>
      </c>
    </row>
    <row r="26" spans="1:9" ht="30" customHeight="1" thickBot="1">
      <c r="A26" s="718"/>
      <c r="B26" s="755" t="s">
        <v>339</v>
      </c>
      <c r="C26" s="756"/>
      <c r="D26" s="756"/>
      <c r="E26" s="756"/>
      <c r="F26" s="756"/>
      <c r="G26" s="756"/>
      <c r="H26" s="757"/>
      <c r="I26" s="436" t="s">
        <v>408</v>
      </c>
    </row>
    <row r="27" spans="1:9" ht="30" customHeight="1" thickBot="1">
      <c r="A27" s="731"/>
      <c r="B27" s="731"/>
      <c r="C27" s="731"/>
      <c r="D27" s="731"/>
      <c r="E27" s="731"/>
      <c r="F27" s="731"/>
      <c r="G27" s="731"/>
      <c r="H27" s="731"/>
      <c r="I27" s="424"/>
    </row>
    <row r="28" spans="1:9" ht="26">
      <c r="A28" s="707" t="s">
        <v>235</v>
      </c>
      <c r="B28" s="700" t="s">
        <v>349</v>
      </c>
      <c r="C28" s="701"/>
      <c r="D28" s="701"/>
      <c r="E28" s="701"/>
      <c r="F28" s="701"/>
      <c r="G28" s="701"/>
      <c r="H28" s="702"/>
      <c r="I28" s="436" t="s">
        <v>187</v>
      </c>
    </row>
    <row r="29" spans="1:9" ht="55" customHeight="1">
      <c r="A29" s="708"/>
      <c r="B29" s="712" t="s">
        <v>348</v>
      </c>
      <c r="C29" s="712"/>
      <c r="D29" s="712"/>
      <c r="E29" s="712"/>
      <c r="F29" s="712"/>
      <c r="G29" s="712"/>
      <c r="H29" s="394" t="s">
        <v>188</v>
      </c>
      <c r="I29" s="437" t="s">
        <v>188</v>
      </c>
    </row>
    <row r="30" spans="1:9" ht="40" customHeight="1">
      <c r="A30" s="708"/>
      <c r="B30" s="703" t="s">
        <v>302</v>
      </c>
      <c r="C30" s="703"/>
      <c r="D30" s="703"/>
      <c r="E30" s="703"/>
      <c r="F30" s="703"/>
      <c r="G30" s="703"/>
      <c r="H30" s="438"/>
      <c r="I30" s="424"/>
    </row>
    <row r="31" spans="1:9" ht="41" customHeight="1">
      <c r="A31" s="708"/>
      <c r="B31" s="704" t="s">
        <v>347</v>
      </c>
      <c r="C31" s="705"/>
      <c r="D31" s="705"/>
      <c r="E31" s="705"/>
      <c r="F31" s="705"/>
      <c r="G31" s="706"/>
      <c r="H31" s="348">
        <f>Skemaoplysninger!AN40+Skemaoplysninger!AN41</f>
        <v>0</v>
      </c>
    </row>
    <row r="32" spans="1:9" ht="16" customHeight="1">
      <c r="C32" s="384"/>
      <c r="D32" s="384"/>
      <c r="E32" s="384"/>
      <c r="F32" s="384"/>
      <c r="G32" s="384"/>
      <c r="H32" s="384"/>
    </row>
    <row r="33" spans="1:8" ht="16" customHeight="1">
      <c r="A33" s="682"/>
      <c r="B33" s="682"/>
      <c r="C33" s="693" t="s">
        <v>375</v>
      </c>
      <c r="D33" s="693"/>
      <c r="E33" s="693"/>
      <c r="F33" s="693"/>
      <c r="G33" s="693"/>
      <c r="H33" s="693"/>
    </row>
    <row r="34" spans="1:8" ht="16" customHeight="1">
      <c r="A34" s="682"/>
      <c r="B34" s="682"/>
      <c r="C34" s="693"/>
      <c r="D34" s="693"/>
      <c r="E34" s="693"/>
      <c r="F34" s="693"/>
      <c r="G34" s="693"/>
      <c r="H34" s="693"/>
    </row>
    <row r="35" spans="1:8" ht="31" customHeight="1">
      <c r="A35" s="682"/>
      <c r="B35" s="682"/>
      <c r="C35" s="693"/>
      <c r="D35" s="693"/>
      <c r="E35" s="693"/>
      <c r="F35" s="693"/>
      <c r="G35" s="693"/>
      <c r="H35" s="693"/>
    </row>
    <row r="36" spans="1:8" ht="16" customHeight="1">
      <c r="A36" s="682"/>
      <c r="B36" s="682"/>
      <c r="C36" s="693"/>
      <c r="D36" s="693"/>
      <c r="E36" s="693"/>
      <c r="F36" s="693"/>
      <c r="G36" s="693"/>
      <c r="H36" s="693"/>
    </row>
    <row r="37" spans="1:8">
      <c r="A37" s="682"/>
      <c r="B37" s="682"/>
      <c r="C37" s="693"/>
      <c r="D37" s="693"/>
      <c r="E37" s="693"/>
      <c r="F37" s="693"/>
      <c r="G37" s="693"/>
      <c r="H37" s="693"/>
    </row>
  </sheetData>
  <sheetProtection sheet="1" objects="1" scenarios="1"/>
  <mergeCells count="45">
    <mergeCell ref="A27:H27"/>
    <mergeCell ref="A5:A15"/>
    <mergeCell ref="B5:H5"/>
    <mergeCell ref="B7:D7"/>
    <mergeCell ref="E7:H7"/>
    <mergeCell ref="B8:D8"/>
    <mergeCell ref="E8:H8"/>
    <mergeCell ref="B9:D11"/>
    <mergeCell ref="E9:F9"/>
    <mergeCell ref="G9:H9"/>
    <mergeCell ref="E10:F10"/>
    <mergeCell ref="G10:H10"/>
    <mergeCell ref="E11:F11"/>
    <mergeCell ref="G11:H11"/>
    <mergeCell ref="B13:D13"/>
    <mergeCell ref="B26:H26"/>
    <mergeCell ref="B21:H21"/>
    <mergeCell ref="A17:A26"/>
    <mergeCell ref="E13:H13"/>
    <mergeCell ref="B17:H17"/>
    <mergeCell ref="B19:H19"/>
    <mergeCell ref="B20:H20"/>
    <mergeCell ref="B23:H23"/>
    <mergeCell ref="B24:H24"/>
    <mergeCell ref="B15:D15"/>
    <mergeCell ref="E15:H15"/>
    <mergeCell ref="B14:D14"/>
    <mergeCell ref="E14:H14"/>
    <mergeCell ref="A16:H16"/>
    <mergeCell ref="C1:H1"/>
    <mergeCell ref="C3:H3"/>
    <mergeCell ref="C4:H4"/>
    <mergeCell ref="A1:B4"/>
    <mergeCell ref="C33:H37"/>
    <mergeCell ref="A33:B37"/>
    <mergeCell ref="B12:D12"/>
    <mergeCell ref="E12:H12"/>
    <mergeCell ref="C2:H2"/>
    <mergeCell ref="B28:H28"/>
    <mergeCell ref="B30:G30"/>
    <mergeCell ref="B31:G31"/>
    <mergeCell ref="A28:A31"/>
    <mergeCell ref="B25:H25"/>
    <mergeCell ref="B29:G29"/>
    <mergeCell ref="B22:H22"/>
  </mergeCells>
  <conditionalFormatting sqref="B30">
    <cfRule type="expression" dxfId="889" priority="5">
      <formula>OR($H29="Nej",)</formula>
    </cfRule>
  </conditionalFormatting>
  <conditionalFormatting sqref="B31 H31">
    <cfRule type="expression" dxfId="888" priority="1">
      <formula>OR($H$29="Ja",)</formula>
    </cfRule>
  </conditionalFormatting>
  <conditionalFormatting sqref="B31">
    <cfRule type="expression" dxfId="887" priority="4">
      <formula>OR($J$8="Ja",)</formula>
    </cfRule>
  </conditionalFormatting>
  <conditionalFormatting sqref="B30:H30">
    <cfRule type="expression" dxfId="886" priority="2">
      <formula>OR($H$29="Nej",)</formula>
    </cfRule>
  </conditionalFormatting>
  <conditionalFormatting sqref="H31">
    <cfRule type="expression" dxfId="885" priority="3">
      <formula>OR($J$8="Ja",)</formula>
    </cfRule>
  </conditionalFormatting>
  <dataValidations count="4">
    <dataValidation type="list" allowBlank="1" showInputMessage="1" showErrorMessage="1" sqref="E14:H14 E12:H12" xr:uid="{59E668A3-32EF-B846-8F30-0A5B1C3FF7EE}">
      <formula1>$I$13:$I$14</formula1>
    </dataValidation>
    <dataValidation type="list" allowBlank="1" showInputMessage="1" showErrorMessage="1" sqref="B22:H22" xr:uid="{F392690C-B5FF-3544-B2A6-6282EAEF66E5}">
      <formula1>$I$17:$I$19</formula1>
    </dataValidation>
    <dataValidation type="list" allowBlank="1" showInputMessage="1" showErrorMessage="1" sqref="B26:H26" xr:uid="{220F7218-A30D-3747-81EB-817B46195164}">
      <formula1>$I$20:$I$26</formula1>
    </dataValidation>
    <dataValidation type="list" allowBlank="1" showInputMessage="1" showErrorMessage="1" sqref="H29" xr:uid="{9EBF49C3-9B2C-E947-9002-F99CACDC417C}">
      <formula1>$I$28:$I$29</formula1>
    </dataValidation>
  </dataValidations>
  <pageMargins left="0.7" right="0.7" top="0.75" bottom="0.75" header="0.3" footer="0.3"/>
  <pageSetup paperSize="9" scale="82" orientation="portrait" horizontalDpi="0" verticalDpi="0"/>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596-A7E1-6C4F-B466-39B373E748AC}">
  <sheetPr>
    <tabColor theme="4" tint="-0.249977111117893"/>
    <pageSetUpPr fitToPage="1"/>
  </sheetPr>
  <dimension ref="A1:AO96"/>
  <sheetViews>
    <sheetView showZeros="0" zoomScale="75" workbookViewId="0">
      <selection activeCell="AK13" sqref="AK13"/>
    </sheetView>
  </sheetViews>
  <sheetFormatPr baseColWidth="10" defaultRowHeight="16"/>
  <cols>
    <col min="15" max="15" width="12.5" bestFit="1" customWidth="1"/>
  </cols>
  <sheetData>
    <row r="1" spans="1:41" ht="149" customHeight="1">
      <c r="C1" s="794" t="s">
        <v>584</v>
      </c>
      <c r="D1" s="794"/>
      <c r="E1" s="794"/>
      <c r="F1" s="794"/>
      <c r="G1" s="794"/>
      <c r="H1" s="794"/>
      <c r="I1" s="794"/>
      <c r="J1" s="794"/>
      <c r="K1" s="794"/>
      <c r="L1" s="794"/>
      <c r="M1" s="794"/>
      <c r="N1" s="794"/>
      <c r="O1" s="794"/>
      <c r="P1" s="794"/>
      <c r="Q1" s="794"/>
      <c r="R1" s="794"/>
      <c r="S1" s="794"/>
      <c r="AO1" s="44"/>
    </row>
    <row r="2" spans="1:41" ht="47" customHeight="1">
      <c r="A2" s="795" t="s">
        <v>519</v>
      </c>
      <c r="B2" s="795"/>
      <c r="C2" s="795" t="s">
        <v>64</v>
      </c>
      <c r="D2" s="795"/>
      <c r="E2" s="797" t="s">
        <v>521</v>
      </c>
      <c r="F2" s="797"/>
      <c r="G2" s="797"/>
      <c r="H2" s="797"/>
      <c r="I2" s="797"/>
      <c r="J2" s="797"/>
      <c r="K2" s="797"/>
      <c r="L2" s="797"/>
      <c r="M2" s="797"/>
      <c r="N2" s="797"/>
      <c r="O2" s="797"/>
      <c r="P2" s="797"/>
      <c r="Q2" s="797"/>
      <c r="R2" s="797"/>
      <c r="S2" s="797"/>
      <c r="AO2" s="44"/>
    </row>
    <row r="3" spans="1:41" ht="57" customHeight="1">
      <c r="A3" s="795" t="s">
        <v>519</v>
      </c>
      <c r="B3" s="795"/>
      <c r="C3" s="796" t="s">
        <v>497</v>
      </c>
      <c r="D3" s="796"/>
      <c r="E3" s="797" t="s">
        <v>520</v>
      </c>
      <c r="F3" s="797"/>
      <c r="G3" s="797"/>
      <c r="H3" s="797"/>
      <c r="I3" s="797"/>
      <c r="J3" s="797"/>
      <c r="K3" s="797"/>
      <c r="L3" s="797"/>
      <c r="M3" s="797"/>
      <c r="N3" s="797"/>
      <c r="O3" s="797"/>
      <c r="P3" s="797"/>
      <c r="Q3" s="797"/>
      <c r="R3" s="797"/>
      <c r="S3" s="797"/>
      <c r="AO3" s="44"/>
    </row>
    <row r="4" spans="1:41" ht="50" customHeight="1" thickBot="1">
      <c r="A4" s="544"/>
      <c r="B4" s="544"/>
      <c r="C4" s="794" t="s">
        <v>411</v>
      </c>
      <c r="D4" s="794"/>
      <c r="E4" s="794"/>
      <c r="F4" s="794"/>
      <c r="G4" s="794"/>
      <c r="H4" s="794"/>
      <c r="I4" s="794"/>
      <c r="J4" s="794"/>
      <c r="K4" s="794"/>
      <c r="L4" s="794"/>
      <c r="M4" s="794"/>
      <c r="N4" s="794"/>
      <c r="O4" s="794"/>
      <c r="P4" s="794"/>
      <c r="Q4" s="794"/>
      <c r="R4" s="794"/>
      <c r="S4" s="794"/>
      <c r="AO4" s="44"/>
    </row>
    <row r="5" spans="1:41" ht="30" customHeight="1">
      <c r="A5" s="785" t="s">
        <v>209</v>
      </c>
      <c r="B5" s="786"/>
      <c r="C5" s="786"/>
      <c r="D5" s="786"/>
      <c r="E5" s="786"/>
      <c r="F5" s="786"/>
      <c r="G5" s="786"/>
      <c r="H5" s="786"/>
      <c r="I5" s="787"/>
      <c r="K5" s="785" t="s">
        <v>210</v>
      </c>
      <c r="L5" s="786"/>
      <c r="M5" s="786"/>
      <c r="N5" s="786"/>
      <c r="O5" s="786"/>
      <c r="P5" s="786"/>
      <c r="Q5" s="786"/>
      <c r="R5" s="786"/>
      <c r="S5" s="787"/>
      <c r="U5" s="785" t="s">
        <v>211</v>
      </c>
      <c r="V5" s="786"/>
      <c r="W5" s="786"/>
      <c r="X5" s="786"/>
      <c r="Y5" s="786"/>
      <c r="Z5" s="786"/>
      <c r="AA5" s="786"/>
      <c r="AB5" s="786"/>
      <c r="AC5" s="787"/>
      <c r="AE5" s="785" t="s">
        <v>212</v>
      </c>
      <c r="AF5" s="786"/>
      <c r="AG5" s="786"/>
      <c r="AH5" s="786"/>
      <c r="AI5" s="786"/>
      <c r="AJ5" s="786"/>
      <c r="AK5" s="786"/>
      <c r="AL5" s="786"/>
      <c r="AM5" s="787"/>
      <c r="AO5" s="44" t="s">
        <v>209</v>
      </c>
    </row>
    <row r="6" spans="1:41" ht="29" customHeight="1">
      <c r="A6" s="788" t="str">
        <f>IF(F7&gt;0,Stamoplysninger!$E$8,"")</f>
        <v/>
      </c>
      <c r="B6" s="789"/>
      <c r="C6" s="789"/>
      <c r="D6" s="789"/>
      <c r="E6" s="789"/>
      <c r="F6" s="764" t="s">
        <v>27</v>
      </c>
      <c r="G6" s="764"/>
      <c r="H6" s="764" t="s">
        <v>304</v>
      </c>
      <c r="I6" s="765"/>
      <c r="K6" s="788" t="str">
        <f>IF(P7&gt;0,Stamoplysninger!$E$8,"")</f>
        <v/>
      </c>
      <c r="L6" s="789"/>
      <c r="M6" s="789"/>
      <c r="N6" s="789"/>
      <c r="O6" s="789"/>
      <c r="P6" s="764" t="s">
        <v>27</v>
      </c>
      <c r="Q6" s="764"/>
      <c r="R6" s="764" t="s">
        <v>304</v>
      </c>
      <c r="S6" s="765"/>
      <c r="U6" s="788" t="str">
        <f>IF(Z7&gt;0,Stamoplysninger!$E$8,"")</f>
        <v/>
      </c>
      <c r="V6" s="789"/>
      <c r="W6" s="789"/>
      <c r="X6" s="789"/>
      <c r="Y6" s="789"/>
      <c r="Z6" s="764" t="s">
        <v>27</v>
      </c>
      <c r="AA6" s="764"/>
      <c r="AB6" s="764" t="s">
        <v>304</v>
      </c>
      <c r="AC6" s="765"/>
      <c r="AE6" s="788" t="str">
        <f>IF(AJ7&gt;0,Stamoplysninger!$E$8,"")</f>
        <v/>
      </c>
      <c r="AF6" s="789"/>
      <c r="AG6" s="789"/>
      <c r="AH6" s="789"/>
      <c r="AI6" s="789"/>
      <c r="AJ6" s="764" t="s">
        <v>27</v>
      </c>
      <c r="AK6" s="764"/>
      <c r="AL6" s="764" t="s">
        <v>304</v>
      </c>
      <c r="AM6" s="765"/>
      <c r="AO6" s="44"/>
    </row>
    <row r="7" spans="1:41" ht="30" customHeight="1">
      <c r="A7" s="788" t="s">
        <v>222</v>
      </c>
      <c r="B7" s="789"/>
      <c r="C7" s="789"/>
      <c r="D7" s="789"/>
      <c r="E7" s="789"/>
      <c r="F7" s="774"/>
      <c r="G7" s="774"/>
      <c r="H7" s="774"/>
      <c r="I7" s="775"/>
      <c r="K7" s="776" t="str">
        <f>A7</f>
        <v>Skemaet dækker perioden:</v>
      </c>
      <c r="L7" s="777"/>
      <c r="M7" s="777"/>
      <c r="N7" s="777"/>
      <c r="O7" s="777"/>
      <c r="P7" s="774"/>
      <c r="Q7" s="774"/>
      <c r="R7" s="774"/>
      <c r="S7" s="775"/>
      <c r="U7" s="776" t="str">
        <f>K7</f>
        <v>Skemaet dækker perioden:</v>
      </c>
      <c r="V7" s="777"/>
      <c r="W7" s="777"/>
      <c r="X7" s="777"/>
      <c r="Y7" s="777"/>
      <c r="Z7" s="774"/>
      <c r="AA7" s="774"/>
      <c r="AB7" s="774"/>
      <c r="AC7" s="775"/>
      <c r="AE7" s="776" t="str">
        <f>U7</f>
        <v>Skemaet dækker perioden:</v>
      </c>
      <c r="AF7" s="777"/>
      <c r="AG7" s="777"/>
      <c r="AH7" s="777"/>
      <c r="AI7" s="777"/>
      <c r="AJ7" s="774"/>
      <c r="AK7" s="774"/>
      <c r="AL7" s="774"/>
      <c r="AM7" s="775"/>
      <c r="AO7" s="44" t="s">
        <v>210</v>
      </c>
    </row>
    <row r="8" spans="1:41" ht="89" customHeight="1">
      <c r="A8" s="771" t="s">
        <v>602</v>
      </c>
      <c r="B8" s="772"/>
      <c r="C8" s="772"/>
      <c r="D8" s="772"/>
      <c r="E8" s="772"/>
      <c r="F8" s="772"/>
      <c r="G8" s="772"/>
      <c r="H8" s="772"/>
      <c r="I8" s="773"/>
      <c r="K8" s="771" t="s">
        <v>603</v>
      </c>
      <c r="L8" s="772"/>
      <c r="M8" s="772"/>
      <c r="N8" s="772"/>
      <c r="O8" s="772"/>
      <c r="P8" s="772"/>
      <c r="Q8" s="772"/>
      <c r="R8" s="772"/>
      <c r="S8" s="773"/>
      <c r="U8" s="771" t="s">
        <v>604</v>
      </c>
      <c r="V8" s="772"/>
      <c r="W8" s="772"/>
      <c r="X8" s="772"/>
      <c r="Y8" s="772"/>
      <c r="Z8" s="772"/>
      <c r="AA8" s="772"/>
      <c r="AB8" s="772"/>
      <c r="AC8" s="773"/>
      <c r="AE8" s="771" t="s">
        <v>605</v>
      </c>
      <c r="AF8" s="772"/>
      <c r="AG8" s="772"/>
      <c r="AH8" s="772"/>
      <c r="AI8" s="772"/>
      <c r="AJ8" s="772"/>
      <c r="AK8" s="772"/>
      <c r="AL8" s="772"/>
      <c r="AM8" s="773"/>
      <c r="AO8" s="44" t="s">
        <v>211</v>
      </c>
    </row>
    <row r="9" spans="1:41" ht="38" customHeight="1">
      <c r="A9" s="279" t="s">
        <v>32</v>
      </c>
      <c r="B9" s="663" t="s">
        <v>599</v>
      </c>
      <c r="C9" s="28" t="s">
        <v>65</v>
      </c>
      <c r="D9" s="28" t="s">
        <v>66</v>
      </c>
      <c r="E9" s="29" t="s">
        <v>34</v>
      </c>
      <c r="F9" s="29" t="s">
        <v>35</v>
      </c>
      <c r="G9" s="29" t="s">
        <v>36</v>
      </c>
      <c r="H9" s="29" t="s">
        <v>37</v>
      </c>
      <c r="I9" s="40" t="s">
        <v>38</v>
      </c>
      <c r="K9" s="280" t="s">
        <v>64</v>
      </c>
      <c r="L9" s="28" t="str">
        <f t="shared" ref="L9:S9" si="0">B9</f>
        <v>Antal timer og minutter</v>
      </c>
      <c r="M9" s="29" t="str">
        <f t="shared" si="0"/>
        <v>Kl. Fra:</v>
      </c>
      <c r="N9" s="29" t="str">
        <f t="shared" si="0"/>
        <v>Kl. Til:</v>
      </c>
      <c r="O9" s="29" t="str">
        <f t="shared" si="0"/>
        <v>Mandag</v>
      </c>
      <c r="P9" s="29" t="str">
        <f t="shared" si="0"/>
        <v>Tirsdag</v>
      </c>
      <c r="Q9" s="29" t="str">
        <f t="shared" si="0"/>
        <v>Onsdag</v>
      </c>
      <c r="R9" s="29" t="str">
        <f t="shared" si="0"/>
        <v>Torsdag</v>
      </c>
      <c r="S9" s="40" t="str">
        <f t="shared" si="0"/>
        <v>Fredag</v>
      </c>
      <c r="U9" s="280" t="s">
        <v>64</v>
      </c>
      <c r="V9" s="28" t="str">
        <f t="shared" ref="V9:AC9" si="1">L9</f>
        <v>Antal timer og minutter</v>
      </c>
      <c r="W9" s="29" t="str">
        <f t="shared" si="1"/>
        <v>Kl. Fra:</v>
      </c>
      <c r="X9" s="29" t="str">
        <f t="shared" si="1"/>
        <v>Kl. Til:</v>
      </c>
      <c r="Y9" s="29" t="str">
        <f t="shared" si="1"/>
        <v>Mandag</v>
      </c>
      <c r="Z9" s="29" t="str">
        <f t="shared" si="1"/>
        <v>Tirsdag</v>
      </c>
      <c r="AA9" s="29" t="str">
        <f t="shared" si="1"/>
        <v>Onsdag</v>
      </c>
      <c r="AB9" s="29" t="str">
        <f t="shared" si="1"/>
        <v>Torsdag</v>
      </c>
      <c r="AC9" s="40" t="str">
        <f t="shared" si="1"/>
        <v>Fredag</v>
      </c>
      <c r="AE9" s="280" t="s">
        <v>64</v>
      </c>
      <c r="AF9" s="28" t="str">
        <f t="shared" ref="AF9:AM9" si="2">V9</f>
        <v>Antal timer og minutter</v>
      </c>
      <c r="AG9" s="29" t="str">
        <f t="shared" si="2"/>
        <v>Kl. Fra:</v>
      </c>
      <c r="AH9" s="29" t="str">
        <f t="shared" si="2"/>
        <v>Kl. Til:</v>
      </c>
      <c r="AI9" s="29" t="str">
        <f t="shared" si="2"/>
        <v>Mandag</v>
      </c>
      <c r="AJ9" s="29" t="str">
        <f t="shared" si="2"/>
        <v>Tirsdag</v>
      </c>
      <c r="AK9" s="29" t="str">
        <f t="shared" si="2"/>
        <v>Onsdag</v>
      </c>
      <c r="AL9" s="29" t="str">
        <f t="shared" si="2"/>
        <v>Torsdag</v>
      </c>
      <c r="AM9" s="40" t="str">
        <f t="shared" si="2"/>
        <v>Fredag</v>
      </c>
      <c r="AO9" s="44" t="s">
        <v>212</v>
      </c>
    </row>
    <row r="10" spans="1:41" ht="15" customHeight="1">
      <c r="A10" s="766" t="s">
        <v>68</v>
      </c>
      <c r="B10" s="767"/>
      <c r="C10" s="42"/>
      <c r="D10" s="768"/>
      <c r="E10" s="769"/>
      <c r="F10" s="769"/>
      <c r="G10" s="769"/>
      <c r="H10" s="769"/>
      <c r="I10" s="770"/>
      <c r="K10" s="766" t="s">
        <v>68</v>
      </c>
      <c r="L10" s="767"/>
      <c r="M10" s="42"/>
      <c r="N10" s="768"/>
      <c r="O10" s="769"/>
      <c r="P10" s="769"/>
      <c r="Q10" s="769"/>
      <c r="R10" s="769"/>
      <c r="S10" s="770"/>
      <c r="U10" s="766" t="s">
        <v>68</v>
      </c>
      <c r="V10" s="767"/>
      <c r="W10" s="42"/>
      <c r="X10" s="768"/>
      <c r="Y10" s="769"/>
      <c r="Z10" s="769"/>
      <c r="AA10" s="769"/>
      <c r="AB10" s="769"/>
      <c r="AC10" s="770"/>
      <c r="AE10" s="766" t="s">
        <v>68</v>
      </c>
      <c r="AF10" s="767"/>
      <c r="AG10" s="42"/>
      <c r="AH10" s="768"/>
      <c r="AI10" s="769"/>
      <c r="AJ10" s="769"/>
      <c r="AK10" s="769"/>
      <c r="AL10" s="769"/>
      <c r="AM10" s="770"/>
    </row>
    <row r="11" spans="1:41" ht="33" customHeight="1">
      <c r="A11" s="661" t="s">
        <v>64</v>
      </c>
      <c r="B11" s="43"/>
      <c r="C11" s="38" t="str">
        <f>IF(B11&gt;0,C10,"")</f>
        <v/>
      </c>
      <c r="D11" s="38" t="str">
        <f>IF(B11&gt;0,C11+B11,"")</f>
        <v/>
      </c>
      <c r="E11" s="397"/>
      <c r="F11" s="397"/>
      <c r="G11" s="397"/>
      <c r="H11" s="397"/>
      <c r="I11" s="399"/>
      <c r="K11" s="661" t="s">
        <v>64</v>
      </c>
      <c r="L11" s="43"/>
      <c r="M11" s="38" t="str">
        <f>IF(L11&gt;0,M10,"")</f>
        <v/>
      </c>
      <c r="N11" s="38" t="str">
        <f>IF(L11&gt;0,M11+L11,"")</f>
        <v/>
      </c>
      <c r="O11" s="397"/>
      <c r="P11" s="397"/>
      <c r="Q11" s="397"/>
      <c r="R11" s="397"/>
      <c r="S11" s="399"/>
      <c r="U11" s="661" t="s">
        <v>64</v>
      </c>
      <c r="V11" s="43"/>
      <c r="W11" s="38" t="str">
        <f>IF(V11&gt;0,W10,"")</f>
        <v/>
      </c>
      <c r="X11" s="38" t="str">
        <f>IF(V11&gt;0,W11+V11,"")</f>
        <v/>
      </c>
      <c r="Y11" s="397"/>
      <c r="Z11" s="398"/>
      <c r="AA11" s="398"/>
      <c r="AB11" s="398"/>
      <c r="AC11" s="402"/>
      <c r="AE11" s="661" t="s">
        <v>64</v>
      </c>
      <c r="AF11" s="43"/>
      <c r="AG11" s="38" t="str">
        <f>IF(AF11&gt;0,AG10,"")</f>
        <v/>
      </c>
      <c r="AH11" s="38" t="str">
        <f>IF(AF11&gt;0,AG11+AF11,"")</f>
        <v/>
      </c>
      <c r="AI11" s="397"/>
      <c r="AJ11" s="398"/>
      <c r="AK11" s="398"/>
      <c r="AL11" s="398"/>
      <c r="AM11" s="402"/>
    </row>
    <row r="12" spans="1:41" ht="33" customHeight="1">
      <c r="A12" s="661" t="s">
        <v>64</v>
      </c>
      <c r="B12" s="43"/>
      <c r="C12" s="38" t="str">
        <f>IF(B12&gt;0,D11,"")</f>
        <v/>
      </c>
      <c r="D12" s="38" t="str">
        <f t="shared" ref="D12:D29" si="3">IF(B12&gt;0,C12+B12,"")</f>
        <v/>
      </c>
      <c r="E12" s="276"/>
      <c r="F12" s="276"/>
      <c r="G12" s="276"/>
      <c r="H12" s="276"/>
      <c r="I12" s="277"/>
      <c r="K12" s="661" t="s">
        <v>64</v>
      </c>
      <c r="L12" s="43"/>
      <c r="M12" s="38" t="str">
        <f>IF(L12&gt;0,N11,"")</f>
        <v/>
      </c>
      <c r="N12" s="38" t="str">
        <f t="shared" ref="N12:N29" si="4">IF(L12&gt;0,M12+L12,"")</f>
        <v/>
      </c>
      <c r="O12" s="276"/>
      <c r="P12" s="276"/>
      <c r="Q12" s="276"/>
      <c r="R12" s="276"/>
      <c r="S12" s="277"/>
      <c r="U12" s="661" t="s">
        <v>64</v>
      </c>
      <c r="V12" s="43"/>
      <c r="W12" s="38" t="str">
        <f>IF(V12&gt;0,X11,"")</f>
        <v/>
      </c>
      <c r="X12" s="38" t="str">
        <f t="shared" ref="X12:X29" si="5">IF(V12&gt;0,W12+V12,"")</f>
        <v/>
      </c>
      <c r="Y12" s="276"/>
      <c r="Z12" s="276"/>
      <c r="AA12" s="276"/>
      <c r="AB12" s="276"/>
      <c r="AC12" s="277"/>
      <c r="AE12" s="661" t="s">
        <v>64</v>
      </c>
      <c r="AF12" s="43"/>
      <c r="AG12" s="38" t="str">
        <f>IF(AF12&gt;0,AH11,"")</f>
        <v/>
      </c>
      <c r="AH12" s="38" t="str">
        <f t="shared" ref="AH12:AH29" si="6">IF(AF12&gt;0,AG12+AF12,"")</f>
        <v/>
      </c>
      <c r="AI12" s="276"/>
      <c r="AJ12" s="276"/>
      <c r="AK12" s="276"/>
      <c r="AL12" s="276"/>
      <c r="AM12" s="277"/>
    </row>
    <row r="13" spans="1:41" ht="33" customHeight="1">
      <c r="A13" s="661" t="s">
        <v>64</v>
      </c>
      <c r="B13" s="43"/>
      <c r="C13" s="38" t="str">
        <f t="shared" ref="C13:C29" si="7">IF(B13&gt;0,D12,"")</f>
        <v/>
      </c>
      <c r="D13" s="38" t="str">
        <f t="shared" si="3"/>
        <v/>
      </c>
      <c r="E13" s="397"/>
      <c r="F13" s="397"/>
      <c r="G13" s="397"/>
      <c r="H13" s="397"/>
      <c r="I13" s="399"/>
      <c r="K13" s="661" t="s">
        <v>64</v>
      </c>
      <c r="L13" s="43"/>
      <c r="M13" s="38" t="str">
        <f t="shared" ref="M13:M29" si="8">IF(L13&gt;0,N12,"")</f>
        <v/>
      </c>
      <c r="N13" s="38" t="str">
        <f t="shared" si="4"/>
        <v/>
      </c>
      <c r="O13" s="397"/>
      <c r="P13" s="397"/>
      <c r="Q13" s="397"/>
      <c r="R13" s="397"/>
      <c r="S13" s="399"/>
      <c r="U13" s="661" t="s">
        <v>64</v>
      </c>
      <c r="V13" s="43"/>
      <c r="W13" s="38" t="str">
        <f t="shared" ref="W13:W29" si="9">IF(V13&gt;0,X12,"")</f>
        <v/>
      </c>
      <c r="X13" s="38" t="str">
        <f t="shared" si="5"/>
        <v/>
      </c>
      <c r="Y13" s="397"/>
      <c r="Z13" s="397"/>
      <c r="AA13" s="397"/>
      <c r="AB13" s="397"/>
      <c r="AC13" s="399"/>
      <c r="AE13" s="661" t="s">
        <v>64</v>
      </c>
      <c r="AF13" s="43"/>
      <c r="AG13" s="38" t="str">
        <f t="shared" ref="AG13:AG29" si="10">IF(AF13&gt;0,AH12,"")</f>
        <v/>
      </c>
      <c r="AH13" s="38" t="str">
        <f t="shared" si="6"/>
        <v/>
      </c>
      <c r="AI13" s="397"/>
      <c r="AJ13" s="397"/>
      <c r="AK13" s="397"/>
      <c r="AL13" s="397"/>
      <c r="AM13" s="399"/>
    </row>
    <row r="14" spans="1:41" ht="33" customHeight="1">
      <c r="A14" s="661" t="s">
        <v>64</v>
      </c>
      <c r="B14" s="43"/>
      <c r="C14" s="38" t="str">
        <f t="shared" si="7"/>
        <v/>
      </c>
      <c r="D14" s="38" t="str">
        <f t="shared" si="3"/>
        <v/>
      </c>
      <c r="E14" s="276"/>
      <c r="F14" s="276"/>
      <c r="G14" s="276"/>
      <c r="H14" s="276"/>
      <c r="I14" s="277"/>
      <c r="K14" s="661" t="s">
        <v>64</v>
      </c>
      <c r="L14" s="43"/>
      <c r="M14" s="38" t="str">
        <f t="shared" si="8"/>
        <v/>
      </c>
      <c r="N14" s="38" t="str">
        <f t="shared" si="4"/>
        <v/>
      </c>
      <c r="O14" s="276"/>
      <c r="P14" s="276"/>
      <c r="Q14" s="276"/>
      <c r="R14" s="276"/>
      <c r="S14" s="277"/>
      <c r="U14" s="661" t="s">
        <v>64</v>
      </c>
      <c r="V14" s="43"/>
      <c r="W14" s="38" t="str">
        <f t="shared" si="9"/>
        <v/>
      </c>
      <c r="X14" s="38" t="str">
        <f t="shared" si="5"/>
        <v/>
      </c>
      <c r="Y14" s="276"/>
      <c r="Z14" s="276"/>
      <c r="AA14" s="276"/>
      <c r="AB14" s="276"/>
      <c r="AC14" s="277"/>
      <c r="AE14" s="661" t="s">
        <v>64</v>
      </c>
      <c r="AF14" s="43"/>
      <c r="AG14" s="38" t="str">
        <f t="shared" si="10"/>
        <v/>
      </c>
      <c r="AH14" s="38" t="str">
        <f t="shared" si="6"/>
        <v/>
      </c>
      <c r="AI14" s="276"/>
      <c r="AJ14" s="276"/>
      <c r="AK14" s="276"/>
      <c r="AL14" s="276"/>
      <c r="AM14" s="277"/>
    </row>
    <row r="15" spans="1:41" ht="33" customHeight="1">
      <c r="A15" s="661" t="s">
        <v>64</v>
      </c>
      <c r="B15" s="43"/>
      <c r="C15" s="38" t="str">
        <f t="shared" si="7"/>
        <v/>
      </c>
      <c r="D15" s="38" t="str">
        <f t="shared" si="3"/>
        <v/>
      </c>
      <c r="E15" s="397"/>
      <c r="F15" s="397"/>
      <c r="G15" s="397"/>
      <c r="H15" s="397"/>
      <c r="I15" s="399"/>
      <c r="K15" s="661" t="s">
        <v>64</v>
      </c>
      <c r="L15" s="43"/>
      <c r="M15" s="38" t="str">
        <f t="shared" si="8"/>
        <v/>
      </c>
      <c r="N15" s="38" t="str">
        <f t="shared" si="4"/>
        <v/>
      </c>
      <c r="O15" s="397"/>
      <c r="P15" s="397"/>
      <c r="Q15" s="397"/>
      <c r="R15" s="397"/>
      <c r="S15" s="399"/>
      <c r="U15" s="661" t="s">
        <v>64</v>
      </c>
      <c r="V15" s="43"/>
      <c r="W15" s="38" t="str">
        <f t="shared" si="9"/>
        <v/>
      </c>
      <c r="X15" s="38" t="str">
        <f t="shared" si="5"/>
        <v/>
      </c>
      <c r="Y15" s="397"/>
      <c r="Z15" s="397"/>
      <c r="AA15" s="397"/>
      <c r="AB15" s="397"/>
      <c r="AC15" s="399"/>
      <c r="AE15" s="661" t="s">
        <v>64</v>
      </c>
      <c r="AF15" s="43"/>
      <c r="AG15" s="38" t="str">
        <f t="shared" si="10"/>
        <v/>
      </c>
      <c r="AH15" s="38" t="str">
        <f t="shared" si="6"/>
        <v/>
      </c>
      <c r="AI15" s="397"/>
      <c r="AJ15" s="397"/>
      <c r="AK15" s="397"/>
      <c r="AL15" s="397"/>
      <c r="AM15" s="399"/>
    </row>
    <row r="16" spans="1:41" ht="33" customHeight="1">
      <c r="A16" s="661" t="s">
        <v>64</v>
      </c>
      <c r="B16" s="43"/>
      <c r="C16" s="38" t="str">
        <f t="shared" si="7"/>
        <v/>
      </c>
      <c r="D16" s="38" t="str">
        <f t="shared" si="3"/>
        <v/>
      </c>
      <c r="E16" s="276"/>
      <c r="F16" s="276"/>
      <c r="G16" s="276"/>
      <c r="H16" s="276"/>
      <c r="I16" s="277"/>
      <c r="K16" s="661" t="s">
        <v>64</v>
      </c>
      <c r="L16" s="43"/>
      <c r="M16" s="38" t="str">
        <f t="shared" si="8"/>
        <v/>
      </c>
      <c r="N16" s="38" t="str">
        <f t="shared" si="4"/>
        <v/>
      </c>
      <c r="O16" s="276"/>
      <c r="P16" s="276"/>
      <c r="Q16" s="276"/>
      <c r="R16" s="276"/>
      <c r="S16" s="277"/>
      <c r="U16" s="661" t="s">
        <v>64</v>
      </c>
      <c r="V16" s="43"/>
      <c r="W16" s="38" t="str">
        <f t="shared" si="9"/>
        <v/>
      </c>
      <c r="X16" s="38" t="str">
        <f t="shared" si="5"/>
        <v/>
      </c>
      <c r="Y16" s="276"/>
      <c r="Z16" s="276"/>
      <c r="AA16" s="276"/>
      <c r="AB16" s="276"/>
      <c r="AC16" s="277"/>
      <c r="AE16" s="661" t="s">
        <v>64</v>
      </c>
      <c r="AF16" s="43"/>
      <c r="AG16" s="38" t="str">
        <f t="shared" si="10"/>
        <v/>
      </c>
      <c r="AH16" s="38" t="str">
        <f t="shared" si="6"/>
        <v/>
      </c>
      <c r="AI16" s="276"/>
      <c r="AJ16" s="276"/>
      <c r="AK16" s="276"/>
      <c r="AL16" s="276"/>
      <c r="AM16" s="277"/>
    </row>
    <row r="17" spans="1:40" ht="33" customHeight="1">
      <c r="A17" s="661" t="s">
        <v>64</v>
      </c>
      <c r="B17" s="43"/>
      <c r="C17" s="38" t="str">
        <f t="shared" si="7"/>
        <v/>
      </c>
      <c r="D17" s="38" t="str">
        <f t="shared" si="3"/>
        <v/>
      </c>
      <c r="E17" s="397"/>
      <c r="F17" s="397"/>
      <c r="G17" s="397"/>
      <c r="H17" s="397"/>
      <c r="I17" s="399"/>
      <c r="K17" s="661" t="s">
        <v>64</v>
      </c>
      <c r="L17" s="43"/>
      <c r="M17" s="38" t="str">
        <f t="shared" si="8"/>
        <v/>
      </c>
      <c r="N17" s="38" t="str">
        <f t="shared" si="4"/>
        <v/>
      </c>
      <c r="O17" s="397"/>
      <c r="P17" s="397"/>
      <c r="Q17" s="397"/>
      <c r="R17" s="397"/>
      <c r="S17" s="399"/>
      <c r="U17" s="661" t="s">
        <v>64</v>
      </c>
      <c r="V17" s="43"/>
      <c r="W17" s="38" t="str">
        <f t="shared" si="9"/>
        <v/>
      </c>
      <c r="X17" s="38" t="str">
        <f t="shared" si="5"/>
        <v/>
      </c>
      <c r="Y17" s="397"/>
      <c r="Z17" s="397"/>
      <c r="AA17" s="397"/>
      <c r="AB17" s="397"/>
      <c r="AC17" s="399"/>
      <c r="AE17" s="661" t="s">
        <v>64</v>
      </c>
      <c r="AF17" s="43"/>
      <c r="AG17" s="38" t="str">
        <f t="shared" si="10"/>
        <v/>
      </c>
      <c r="AH17" s="38" t="str">
        <f t="shared" si="6"/>
        <v/>
      </c>
      <c r="AI17" s="397"/>
      <c r="AJ17" s="397"/>
      <c r="AK17" s="397"/>
      <c r="AL17" s="397"/>
      <c r="AM17" s="399"/>
    </row>
    <row r="18" spans="1:40" ht="33" customHeight="1">
      <c r="A18" s="661" t="s">
        <v>64</v>
      </c>
      <c r="B18" s="43"/>
      <c r="C18" s="38" t="str">
        <f t="shared" si="7"/>
        <v/>
      </c>
      <c r="D18" s="38" t="str">
        <f t="shared" si="3"/>
        <v/>
      </c>
      <c r="E18" s="276"/>
      <c r="F18" s="276"/>
      <c r="G18" s="276"/>
      <c r="H18" s="276"/>
      <c r="I18" s="277"/>
      <c r="K18" s="661" t="s">
        <v>64</v>
      </c>
      <c r="L18" s="43"/>
      <c r="M18" s="38" t="str">
        <f t="shared" si="8"/>
        <v/>
      </c>
      <c r="N18" s="38" t="str">
        <f t="shared" si="4"/>
        <v/>
      </c>
      <c r="O18" s="276"/>
      <c r="P18" s="276"/>
      <c r="Q18" s="276"/>
      <c r="R18" s="276"/>
      <c r="S18" s="277"/>
      <c r="U18" s="661" t="s">
        <v>64</v>
      </c>
      <c r="V18" s="43"/>
      <c r="W18" s="38" t="str">
        <f t="shared" si="9"/>
        <v/>
      </c>
      <c r="X18" s="38" t="str">
        <f t="shared" si="5"/>
        <v/>
      </c>
      <c r="Y18" s="276"/>
      <c r="Z18" s="276"/>
      <c r="AA18" s="276"/>
      <c r="AB18" s="276"/>
      <c r="AC18" s="277"/>
      <c r="AE18" s="661" t="s">
        <v>64</v>
      </c>
      <c r="AF18" s="43"/>
      <c r="AG18" s="38" t="str">
        <f t="shared" si="10"/>
        <v/>
      </c>
      <c r="AH18" s="38" t="str">
        <f t="shared" si="6"/>
        <v/>
      </c>
      <c r="AI18" s="276"/>
      <c r="AJ18" s="276"/>
      <c r="AK18" s="276"/>
      <c r="AL18" s="276"/>
      <c r="AM18" s="277"/>
    </row>
    <row r="19" spans="1:40" ht="33" customHeight="1">
      <c r="A19" s="661" t="s">
        <v>64</v>
      </c>
      <c r="B19" s="43"/>
      <c r="C19" s="38" t="str">
        <f t="shared" si="7"/>
        <v/>
      </c>
      <c r="D19" s="38" t="str">
        <f t="shared" si="3"/>
        <v/>
      </c>
      <c r="E19" s="397"/>
      <c r="F19" s="397"/>
      <c r="G19" s="397"/>
      <c r="H19" s="397"/>
      <c r="I19" s="399"/>
      <c r="K19" s="661" t="s">
        <v>64</v>
      </c>
      <c r="L19" s="43"/>
      <c r="M19" s="38" t="str">
        <f t="shared" si="8"/>
        <v/>
      </c>
      <c r="N19" s="38" t="str">
        <f t="shared" si="4"/>
        <v/>
      </c>
      <c r="O19" s="397"/>
      <c r="P19" s="397"/>
      <c r="Q19" s="397"/>
      <c r="R19" s="397"/>
      <c r="S19" s="399"/>
      <c r="U19" s="661" t="s">
        <v>64</v>
      </c>
      <c r="V19" s="43"/>
      <c r="W19" s="38" t="str">
        <f t="shared" si="9"/>
        <v/>
      </c>
      <c r="X19" s="38" t="str">
        <f t="shared" si="5"/>
        <v/>
      </c>
      <c r="Y19" s="397"/>
      <c r="Z19" s="397"/>
      <c r="AA19" s="397"/>
      <c r="AB19" s="397"/>
      <c r="AC19" s="399"/>
      <c r="AE19" s="661" t="s">
        <v>64</v>
      </c>
      <c r="AF19" s="43"/>
      <c r="AG19" s="38" t="str">
        <f t="shared" si="10"/>
        <v/>
      </c>
      <c r="AH19" s="38" t="str">
        <f t="shared" si="6"/>
        <v/>
      </c>
      <c r="AI19" s="397"/>
      <c r="AJ19" s="397"/>
      <c r="AK19" s="397"/>
      <c r="AL19" s="397"/>
      <c r="AM19" s="399"/>
    </row>
    <row r="20" spans="1:40" ht="33" customHeight="1">
      <c r="A20" s="661" t="s">
        <v>64</v>
      </c>
      <c r="B20" s="43"/>
      <c r="C20" s="38" t="str">
        <f t="shared" si="7"/>
        <v/>
      </c>
      <c r="D20" s="38" t="str">
        <f t="shared" si="3"/>
        <v/>
      </c>
      <c r="E20" s="276"/>
      <c r="F20" s="276"/>
      <c r="G20" s="276"/>
      <c r="H20" s="276"/>
      <c r="I20" s="277"/>
      <c r="K20" s="661" t="s">
        <v>64</v>
      </c>
      <c r="L20" s="43"/>
      <c r="M20" s="38" t="str">
        <f t="shared" si="8"/>
        <v/>
      </c>
      <c r="N20" s="38" t="str">
        <f t="shared" si="4"/>
        <v/>
      </c>
      <c r="O20" s="276"/>
      <c r="P20" s="276"/>
      <c r="Q20" s="276"/>
      <c r="R20" s="276"/>
      <c r="S20" s="277"/>
      <c r="U20" s="661" t="s">
        <v>64</v>
      </c>
      <c r="V20" s="43"/>
      <c r="W20" s="38" t="str">
        <f t="shared" si="9"/>
        <v/>
      </c>
      <c r="X20" s="38" t="str">
        <f t="shared" si="5"/>
        <v/>
      </c>
      <c r="Y20" s="276"/>
      <c r="Z20" s="276"/>
      <c r="AA20" s="276"/>
      <c r="AB20" s="276"/>
      <c r="AC20" s="277"/>
      <c r="AE20" s="661" t="s">
        <v>64</v>
      </c>
      <c r="AF20" s="43"/>
      <c r="AG20" s="38" t="str">
        <f t="shared" si="10"/>
        <v/>
      </c>
      <c r="AH20" s="38" t="str">
        <f t="shared" si="6"/>
        <v/>
      </c>
      <c r="AI20" s="276"/>
      <c r="AJ20" s="276"/>
      <c r="AK20" s="276"/>
      <c r="AL20" s="276"/>
      <c r="AM20" s="277"/>
    </row>
    <row r="21" spans="1:40" ht="33" customHeight="1">
      <c r="A21" s="661" t="s">
        <v>64</v>
      </c>
      <c r="B21" s="43"/>
      <c r="C21" s="38" t="str">
        <f t="shared" si="7"/>
        <v/>
      </c>
      <c r="D21" s="38" t="str">
        <f t="shared" si="3"/>
        <v/>
      </c>
      <c r="E21" s="397"/>
      <c r="F21" s="397"/>
      <c r="G21" s="397"/>
      <c r="H21" s="397"/>
      <c r="I21" s="399"/>
      <c r="K21" s="661" t="s">
        <v>64</v>
      </c>
      <c r="L21" s="43"/>
      <c r="M21" s="38" t="str">
        <f t="shared" si="8"/>
        <v/>
      </c>
      <c r="N21" s="38" t="str">
        <f t="shared" si="4"/>
        <v/>
      </c>
      <c r="O21" s="397"/>
      <c r="P21" s="397"/>
      <c r="Q21" s="397"/>
      <c r="R21" s="397"/>
      <c r="S21" s="399"/>
      <c r="U21" s="661" t="s">
        <v>64</v>
      </c>
      <c r="V21" s="43"/>
      <c r="W21" s="38" t="str">
        <f t="shared" si="9"/>
        <v/>
      </c>
      <c r="X21" s="38" t="str">
        <f t="shared" si="5"/>
        <v/>
      </c>
      <c r="Y21" s="397"/>
      <c r="Z21" s="397"/>
      <c r="AA21" s="397"/>
      <c r="AB21" s="397"/>
      <c r="AC21" s="399"/>
      <c r="AE21" s="661" t="s">
        <v>64</v>
      </c>
      <c r="AF21" s="43"/>
      <c r="AG21" s="38" t="str">
        <f t="shared" si="10"/>
        <v/>
      </c>
      <c r="AH21" s="38" t="str">
        <f t="shared" si="6"/>
        <v/>
      </c>
      <c r="AI21" s="397"/>
      <c r="AJ21" s="397"/>
      <c r="AK21" s="397"/>
      <c r="AL21" s="397"/>
      <c r="AM21" s="399"/>
    </row>
    <row r="22" spans="1:40" ht="33" customHeight="1">
      <c r="A22" s="661" t="s">
        <v>64</v>
      </c>
      <c r="B22" s="43"/>
      <c r="C22" s="38" t="str">
        <f t="shared" si="7"/>
        <v/>
      </c>
      <c r="D22" s="38" t="str">
        <f t="shared" si="3"/>
        <v/>
      </c>
      <c r="E22" s="276"/>
      <c r="F22" s="276"/>
      <c r="G22" s="276"/>
      <c r="H22" s="276"/>
      <c r="I22" s="277"/>
      <c r="K22" s="661" t="s">
        <v>64</v>
      </c>
      <c r="L22" s="43"/>
      <c r="M22" s="38" t="str">
        <f t="shared" si="8"/>
        <v/>
      </c>
      <c r="N22" s="38" t="str">
        <f t="shared" si="4"/>
        <v/>
      </c>
      <c r="O22" s="276"/>
      <c r="P22" s="276"/>
      <c r="Q22" s="276"/>
      <c r="R22" s="276"/>
      <c r="S22" s="277"/>
      <c r="U22" s="661" t="s">
        <v>64</v>
      </c>
      <c r="V22" s="43"/>
      <c r="W22" s="38" t="str">
        <f t="shared" si="9"/>
        <v/>
      </c>
      <c r="X22" s="38" t="str">
        <f t="shared" si="5"/>
        <v/>
      </c>
      <c r="Y22" s="276"/>
      <c r="Z22" s="276"/>
      <c r="AA22" s="276"/>
      <c r="AB22" s="276"/>
      <c r="AC22" s="277"/>
      <c r="AE22" s="661" t="s">
        <v>64</v>
      </c>
      <c r="AF22" s="43"/>
      <c r="AG22" s="38" t="str">
        <f t="shared" si="10"/>
        <v/>
      </c>
      <c r="AH22" s="38" t="str">
        <f t="shared" si="6"/>
        <v/>
      </c>
      <c r="AI22" s="276"/>
      <c r="AJ22" s="276"/>
      <c r="AK22" s="276"/>
      <c r="AL22" s="276"/>
      <c r="AM22" s="277"/>
    </row>
    <row r="23" spans="1:40" ht="33" customHeight="1">
      <c r="A23" s="661" t="s">
        <v>64</v>
      </c>
      <c r="B23" s="43"/>
      <c r="C23" s="38" t="str">
        <f t="shared" si="7"/>
        <v/>
      </c>
      <c r="D23" s="38" t="str">
        <f t="shared" si="3"/>
        <v/>
      </c>
      <c r="E23" s="397"/>
      <c r="F23" s="397"/>
      <c r="G23" s="397"/>
      <c r="H23" s="397"/>
      <c r="I23" s="399"/>
      <c r="K23" s="661" t="s">
        <v>64</v>
      </c>
      <c r="L23" s="43"/>
      <c r="M23" s="38" t="str">
        <f t="shared" si="8"/>
        <v/>
      </c>
      <c r="N23" s="38" t="str">
        <f t="shared" si="4"/>
        <v/>
      </c>
      <c r="O23" s="397"/>
      <c r="P23" s="397"/>
      <c r="Q23" s="397"/>
      <c r="R23" s="397"/>
      <c r="S23" s="399"/>
      <c r="U23" s="661" t="s">
        <v>64</v>
      </c>
      <c r="V23" s="43"/>
      <c r="W23" s="38" t="str">
        <f t="shared" si="9"/>
        <v/>
      </c>
      <c r="X23" s="38" t="str">
        <f t="shared" si="5"/>
        <v/>
      </c>
      <c r="Y23" s="397"/>
      <c r="Z23" s="397"/>
      <c r="AA23" s="397"/>
      <c r="AB23" s="397"/>
      <c r="AC23" s="399"/>
      <c r="AE23" s="661" t="s">
        <v>64</v>
      </c>
      <c r="AF23" s="43"/>
      <c r="AG23" s="38" t="str">
        <f t="shared" si="10"/>
        <v/>
      </c>
      <c r="AH23" s="38" t="str">
        <f t="shared" si="6"/>
        <v/>
      </c>
      <c r="AI23" s="397"/>
      <c r="AJ23" s="397"/>
      <c r="AK23" s="397"/>
      <c r="AL23" s="397"/>
      <c r="AM23" s="399"/>
    </row>
    <row r="24" spans="1:40" ht="33" customHeight="1">
      <c r="A24" s="661" t="s">
        <v>64</v>
      </c>
      <c r="B24" s="43"/>
      <c r="C24" s="38" t="str">
        <f t="shared" si="7"/>
        <v/>
      </c>
      <c r="D24" s="38" t="str">
        <f t="shared" si="3"/>
        <v/>
      </c>
      <c r="E24" s="276"/>
      <c r="F24" s="276"/>
      <c r="G24" s="276"/>
      <c r="H24" s="276"/>
      <c r="I24" s="277"/>
      <c r="K24" s="661" t="s">
        <v>64</v>
      </c>
      <c r="L24" s="43"/>
      <c r="M24" s="38" t="str">
        <f t="shared" si="8"/>
        <v/>
      </c>
      <c r="N24" s="38" t="str">
        <f t="shared" si="4"/>
        <v/>
      </c>
      <c r="O24" s="294"/>
      <c r="P24" s="294"/>
      <c r="Q24" s="294"/>
      <c r="R24" s="294"/>
      <c r="S24" s="295"/>
      <c r="U24" s="661" t="s">
        <v>64</v>
      </c>
      <c r="V24" s="43"/>
      <c r="W24" s="38" t="str">
        <f t="shared" si="9"/>
        <v/>
      </c>
      <c r="X24" s="38" t="str">
        <f t="shared" si="5"/>
        <v/>
      </c>
      <c r="Y24" s="276"/>
      <c r="Z24" s="276"/>
      <c r="AA24" s="276"/>
      <c r="AB24" s="276"/>
      <c r="AC24" s="277"/>
      <c r="AE24" s="661" t="s">
        <v>64</v>
      </c>
      <c r="AF24" s="43"/>
      <c r="AG24" s="38" t="str">
        <f t="shared" si="10"/>
        <v/>
      </c>
      <c r="AH24" s="38" t="str">
        <f t="shared" si="6"/>
        <v/>
      </c>
      <c r="AI24" s="276"/>
      <c r="AJ24" s="276"/>
      <c r="AK24" s="276"/>
      <c r="AL24" s="276"/>
      <c r="AM24" s="277"/>
    </row>
    <row r="25" spans="1:40" ht="33" customHeight="1">
      <c r="A25" s="661" t="s">
        <v>64</v>
      </c>
      <c r="B25" s="43"/>
      <c r="C25" s="38" t="str">
        <f t="shared" si="7"/>
        <v/>
      </c>
      <c r="D25" s="38" t="str">
        <f t="shared" si="3"/>
        <v/>
      </c>
      <c r="E25" s="397"/>
      <c r="F25" s="397"/>
      <c r="G25" s="397"/>
      <c r="H25" s="397"/>
      <c r="I25" s="399"/>
      <c r="K25" s="661" t="s">
        <v>64</v>
      </c>
      <c r="L25" s="43"/>
      <c r="M25" s="38" t="str">
        <f t="shared" si="8"/>
        <v/>
      </c>
      <c r="N25" s="38" t="str">
        <f t="shared" si="4"/>
        <v/>
      </c>
      <c r="O25" s="398"/>
      <c r="P25" s="398"/>
      <c r="Q25" s="398"/>
      <c r="R25" s="398"/>
      <c r="S25" s="402"/>
      <c r="U25" s="661" t="s">
        <v>64</v>
      </c>
      <c r="V25" s="43"/>
      <c r="W25" s="38" t="str">
        <f t="shared" si="9"/>
        <v/>
      </c>
      <c r="X25" s="38" t="str">
        <f t="shared" si="5"/>
        <v/>
      </c>
      <c r="Y25" s="397"/>
      <c r="Z25" s="397"/>
      <c r="AA25" s="397"/>
      <c r="AB25" s="397"/>
      <c r="AC25" s="399"/>
      <c r="AE25" s="661" t="s">
        <v>64</v>
      </c>
      <c r="AF25" s="43"/>
      <c r="AG25" s="38" t="str">
        <f t="shared" si="10"/>
        <v/>
      </c>
      <c r="AH25" s="38" t="str">
        <f t="shared" si="6"/>
        <v/>
      </c>
      <c r="AI25" s="397"/>
      <c r="AJ25" s="397"/>
      <c r="AK25" s="397"/>
      <c r="AL25" s="397"/>
      <c r="AM25" s="399"/>
    </row>
    <row r="26" spans="1:40" ht="33" customHeight="1">
      <c r="A26" s="661" t="s">
        <v>64</v>
      </c>
      <c r="B26" s="43"/>
      <c r="C26" s="38" t="str">
        <f t="shared" si="7"/>
        <v/>
      </c>
      <c r="D26" s="38" t="str">
        <f t="shared" si="3"/>
        <v/>
      </c>
      <c r="E26" s="276"/>
      <c r="F26" s="276"/>
      <c r="G26" s="276"/>
      <c r="H26" s="276"/>
      <c r="I26" s="277"/>
      <c r="K26" s="661" t="s">
        <v>64</v>
      </c>
      <c r="L26" s="43"/>
      <c r="M26" s="38" t="str">
        <f t="shared" si="8"/>
        <v/>
      </c>
      <c r="N26" s="38" t="str">
        <f t="shared" si="4"/>
        <v/>
      </c>
      <c r="O26" s="294"/>
      <c r="P26" s="294"/>
      <c r="Q26" s="294"/>
      <c r="R26" s="294"/>
      <c r="S26" s="295"/>
      <c r="U26" s="661" t="s">
        <v>64</v>
      </c>
      <c r="V26" s="43"/>
      <c r="W26" s="38" t="str">
        <f t="shared" si="9"/>
        <v/>
      </c>
      <c r="X26" s="38" t="str">
        <f t="shared" si="5"/>
        <v/>
      </c>
      <c r="Y26" s="276"/>
      <c r="Z26" s="276"/>
      <c r="AA26" s="276"/>
      <c r="AB26" s="276"/>
      <c r="AC26" s="277"/>
      <c r="AE26" s="661" t="s">
        <v>64</v>
      </c>
      <c r="AF26" s="43"/>
      <c r="AG26" s="38" t="str">
        <f t="shared" si="10"/>
        <v/>
      </c>
      <c r="AH26" s="38" t="str">
        <f t="shared" si="6"/>
        <v/>
      </c>
      <c r="AI26" s="276"/>
      <c r="AJ26" s="276"/>
      <c r="AK26" s="276"/>
      <c r="AL26" s="276"/>
      <c r="AM26" s="277"/>
    </row>
    <row r="27" spans="1:40" ht="33" customHeight="1">
      <c r="A27" s="661" t="s">
        <v>64</v>
      </c>
      <c r="B27" s="43"/>
      <c r="C27" s="38" t="str">
        <f t="shared" si="7"/>
        <v/>
      </c>
      <c r="D27" s="38" t="str">
        <f t="shared" si="3"/>
        <v/>
      </c>
      <c r="E27" s="397"/>
      <c r="F27" s="397"/>
      <c r="G27" s="397"/>
      <c r="H27" s="397"/>
      <c r="I27" s="399"/>
      <c r="K27" s="661" t="s">
        <v>64</v>
      </c>
      <c r="L27" s="43"/>
      <c r="M27" s="38" t="str">
        <f t="shared" si="8"/>
        <v/>
      </c>
      <c r="N27" s="38" t="str">
        <f t="shared" si="4"/>
        <v/>
      </c>
      <c r="O27" s="398"/>
      <c r="P27" s="398"/>
      <c r="Q27" s="398"/>
      <c r="R27" s="398"/>
      <c r="S27" s="402"/>
      <c r="U27" s="661" t="s">
        <v>64</v>
      </c>
      <c r="V27" s="43"/>
      <c r="W27" s="38" t="str">
        <f t="shared" si="9"/>
        <v/>
      </c>
      <c r="X27" s="38" t="str">
        <f t="shared" si="5"/>
        <v/>
      </c>
      <c r="Y27" s="397"/>
      <c r="Z27" s="397"/>
      <c r="AA27" s="397"/>
      <c r="AB27" s="397"/>
      <c r="AC27" s="399"/>
      <c r="AE27" s="661" t="s">
        <v>64</v>
      </c>
      <c r="AF27" s="43"/>
      <c r="AG27" s="38" t="str">
        <f t="shared" si="10"/>
        <v/>
      </c>
      <c r="AH27" s="38" t="str">
        <f t="shared" si="6"/>
        <v/>
      </c>
      <c r="AI27" s="397"/>
      <c r="AJ27" s="397"/>
      <c r="AK27" s="397"/>
      <c r="AL27" s="397"/>
      <c r="AM27" s="399"/>
    </row>
    <row r="28" spans="1:40" ht="33" customHeight="1">
      <c r="A28" s="661" t="s">
        <v>64</v>
      </c>
      <c r="B28" s="43"/>
      <c r="C28" s="38" t="str">
        <f t="shared" si="7"/>
        <v/>
      </c>
      <c r="D28" s="38" t="str">
        <f t="shared" si="3"/>
        <v/>
      </c>
      <c r="E28" s="276"/>
      <c r="F28" s="276"/>
      <c r="G28" s="276"/>
      <c r="H28" s="276"/>
      <c r="I28" s="277"/>
      <c r="K28" s="661" t="s">
        <v>64</v>
      </c>
      <c r="L28" s="43"/>
      <c r="M28" s="38" t="str">
        <f t="shared" si="8"/>
        <v/>
      </c>
      <c r="N28" s="38" t="str">
        <f t="shared" si="4"/>
        <v/>
      </c>
      <c r="O28" s="294"/>
      <c r="P28" s="294"/>
      <c r="Q28" s="294"/>
      <c r="R28" s="294"/>
      <c r="S28" s="295"/>
      <c r="U28" s="661" t="s">
        <v>64</v>
      </c>
      <c r="V28" s="43"/>
      <c r="W28" s="38" t="str">
        <f t="shared" si="9"/>
        <v/>
      </c>
      <c r="X28" s="38" t="str">
        <f t="shared" si="5"/>
        <v/>
      </c>
      <c r="Y28" s="276"/>
      <c r="Z28" s="276"/>
      <c r="AA28" s="276"/>
      <c r="AB28" s="276"/>
      <c r="AC28" s="277"/>
      <c r="AE28" s="661" t="s">
        <v>64</v>
      </c>
      <c r="AF28" s="43"/>
      <c r="AG28" s="38" t="str">
        <f t="shared" si="10"/>
        <v/>
      </c>
      <c r="AH28" s="38" t="str">
        <f t="shared" si="6"/>
        <v/>
      </c>
      <c r="AI28" s="276"/>
      <c r="AJ28" s="276"/>
      <c r="AK28" s="276"/>
      <c r="AL28" s="276"/>
      <c r="AM28" s="277"/>
    </row>
    <row r="29" spans="1:40" ht="33" customHeight="1" thickBot="1">
      <c r="A29" s="662" t="s">
        <v>64</v>
      </c>
      <c r="B29" s="281"/>
      <c r="C29" s="282" t="str">
        <f t="shared" si="7"/>
        <v/>
      </c>
      <c r="D29" s="282" t="str">
        <f t="shared" si="3"/>
        <v/>
      </c>
      <c r="E29" s="400"/>
      <c r="F29" s="400"/>
      <c r="G29" s="400"/>
      <c r="H29" s="400"/>
      <c r="I29" s="401"/>
      <c r="K29" s="662" t="s">
        <v>64</v>
      </c>
      <c r="L29" s="281"/>
      <c r="M29" s="282" t="str">
        <f t="shared" si="8"/>
        <v/>
      </c>
      <c r="N29" s="282" t="str">
        <f t="shared" si="4"/>
        <v/>
      </c>
      <c r="O29" s="504"/>
      <c r="P29" s="504"/>
      <c r="Q29" s="504"/>
      <c r="R29" s="504"/>
      <c r="S29" s="505"/>
      <c r="U29" s="662" t="s">
        <v>64</v>
      </c>
      <c r="V29" s="281"/>
      <c r="W29" s="282" t="str">
        <f t="shared" si="9"/>
        <v/>
      </c>
      <c r="X29" s="282" t="str">
        <f t="shared" si="5"/>
        <v/>
      </c>
      <c r="Y29" s="400"/>
      <c r="Z29" s="400"/>
      <c r="AA29" s="400"/>
      <c r="AB29" s="400"/>
      <c r="AC29" s="401"/>
      <c r="AE29" s="662" t="s">
        <v>64</v>
      </c>
      <c r="AF29" s="281"/>
      <c r="AG29" s="282" t="str">
        <f t="shared" si="10"/>
        <v/>
      </c>
      <c r="AH29" s="282" t="str">
        <f t="shared" si="6"/>
        <v/>
      </c>
      <c r="AI29" s="400"/>
      <c r="AJ29" s="400"/>
      <c r="AK29" s="400"/>
      <c r="AL29" s="400"/>
      <c r="AM29" s="401"/>
    </row>
    <row r="30" spans="1:40" ht="33" hidden="1" customHeight="1">
      <c r="A30" s="801" t="s">
        <v>223</v>
      </c>
      <c r="B30" s="778"/>
      <c r="C30" s="778"/>
      <c r="D30" s="778"/>
      <c r="E30" s="278">
        <f>IF(AND(A11="Lektion",E11&gt;0),B11,0)+IF(AND(A12="Lektion",E12&gt;0),B12,0)+IF(AND(A13="Lektion",E13&gt;0),B13,0)+IF(AND(A14="Lektion",E14&gt;0),B14,0)+IF(AND(A15="Lektion",E15&gt;0),B15,0)+IF(AND(A16="Lektion",E16&gt;0),B16,0)+IF(AND(A17="Lektion",E17&gt;0),B17,0)+IF(AND(A18="Lektion",E18&gt;0),B18,0)+IF(AND(A19="Lektion",E19&gt;0),B19,0)+IF(AND(A20="Lektion",E20&gt;0),B20,0)+IF(AND(A21="Lektion",E21&gt;0),B21,0)+IF(AND(A22="Lektion",E22&gt;0),B22,0)+IF(AND(A23="Lektion",E23&gt;0),B23,0)+IF(AND(A24="Lektion",E24&gt;0),B24,0)+IF(AND(A25="Lektion",E25&gt;0),B25,0)+IF(AND(A26="Lektion",E26&gt;0),B26,0)+IF(AND(A27="Lektion",E27&gt;0),B27,0)+IF(AND(A28="Lektion",E28&gt;0),B28,0)+IF(AND(A29="Lektion",E29&gt;0),B29,0)</f>
        <v>0</v>
      </c>
      <c r="F30" s="278">
        <f t="shared" ref="F30:I30" si="11">IF(AND($A$11="Lektion",F11&gt;0),$B$11,0)+IF(AND($A$12="Lektion",F12&gt;0),$B$12,0)+IF(AND($A$13="Lektion",F13&gt;0),$B$13,0)+IF(AND($A$14="Lektion",F14&gt;0),$B$14,0)+IF(AND($A$15="Lektion",F15&gt;0),$B$15,0)+IF(AND($A$16="Lektion",F16&gt;0),$B$16,0)+IF(AND($A$17="Lektion",F17&gt;0),$B$17,0)+IF(AND($A$18="Lektion",F18&gt;0),$B$18,0)+IF(AND($A$19="Lektion",F19&gt;0),$B$19,0)+IF(AND($A$20="Lektion",F20&gt;0),$B$20,0)+IF(AND($A$21="Lektion",F21&gt;0),$B$21,0)+IF(AND($A$22="Lektion",F22&gt;0),$B$22,0)+IF(AND($A$23="Lektion",F23&gt;0),$B$23,0)+IF(AND($A$24="Lektion",F24&gt;0),$B$24,0)+IF(AND($A$25="Lektion",F25&gt;0),$B$25,0)+IF(AND($A$26="Lektion",F26&gt;0),$B$26,0)+IF(AND($A$27="Lektion",F27&gt;0),$B$27,0)+IF(AND($A$28="Lektion",F28&gt;0),$B$28,0)+IF(AND($A$29="Lektion",F29&gt;0),$B$29,0)</f>
        <v>0</v>
      </c>
      <c r="G30" s="278">
        <f t="shared" si="11"/>
        <v>0</v>
      </c>
      <c r="H30" s="278">
        <f t="shared" si="11"/>
        <v>0</v>
      </c>
      <c r="I30" s="278">
        <f t="shared" si="11"/>
        <v>0</v>
      </c>
      <c r="J30" s="538">
        <f>SUM(E30:I30)</f>
        <v>0</v>
      </c>
      <c r="K30" s="778" t="str">
        <f>A30</f>
        <v>Undervisningstimer ifølge skema</v>
      </c>
      <c r="L30" s="778"/>
      <c r="M30" s="778"/>
      <c r="N30" s="778"/>
      <c r="O30" s="278">
        <f>IF(AND(K11="Lektion",O11&gt;0),L11,0)+IF(AND(K12="Lektion",O12&gt;0),L12,0)+IF(AND(K13="Lektion",O13&gt;0),L13,0)+IF(AND(K14="Lektion",O14&gt;0),L14,0)+IF(AND(K15="Lektion",O15&gt;0),L15,0)+IF(AND(K16="Lektion",O16&gt;0),L16,0)+IF(AND(K17="Lektion",O17&gt;0),L17,0)+IF(AND(K18="Lektion",O18&gt;0),L18,0)+IF(AND(K19="Lektion",O19&gt;0),L19,0)+IF(AND(K20="Lektion",O20&gt;0),L20,0)+IF(AND(K21="Lektion",O21&gt;0),L21,0)+IF(AND(K22="Lektion",O22&gt;0),L22,0)+IF(AND(K23="Lektion",O23&gt;0),L23,0)+IF(AND(K24="Lektion",O24&gt;0),L24,0)+IF(AND(K25="Lektion",O25&gt;0),L25,0)+IF(AND(K26="Lektion",O26&gt;0),L26,0)+IF(AND(K27="Lektion",O27&gt;0),L27,0)+IF(AND(K28="Lektion",O28&gt;0),L28,0)+IF(AND(K29="Lektion",O29&gt;0),L29,0)</f>
        <v>0</v>
      </c>
      <c r="P30" s="278">
        <f>IF(AND($K$11="Lektion",P11&gt;0),$L$11,0)+IF(AND($K$12="Lektion",P12&gt;0),$L$12,0)+IF(AND($K$13="Lektion",P13&gt;0),$L$13,0)+IF(AND($K$14="Lektion",P14&gt;0),$L$14,0)+IF(AND($K$15="Lektion",P15&gt;0),$L$15,0)+IF(AND($K$16="Lektion",P16&gt;0),$L$16,0)+IF(AND($K$17="Lektion",P17&gt;0),$L$17,0)+IF(AND($K$18="Lektion",P18&gt;0),$L$18,0)+IF(AND($K$19="Lektion",P19&gt;0),$L$19,0)+IF(AND($K$20="Lektion",P20&gt;0),$L$20,0)+IF(AND($K$21="Lektion",P21&gt;0),$L$21,0)+IF(AND($K$22="Lektion",P22&gt;0),$L$22,0)+IF(AND($K$23="Lektion",P23&gt;0),$L$23,0)+IF(AND($K$24="Lektion",P24&gt;0),$L$24,0)+IF(AND($K$25="Lektion",P25&gt;0),$L$25,0)+IF(AND($K$26="Lektion",P26&gt;0),$L$26,0)+IF(AND($K$27="Lektion",P27&gt;0),$L$27,0)+IF(AND($K$28="Lektion",P28&gt;0),$L$28,0)+IF(AND($K$29="Lektion",P29&gt;0),$L$29,0)</f>
        <v>0</v>
      </c>
      <c r="Q30" s="278">
        <f>IF(AND($K$11="Lektion",Q11&gt;0),$L$11,0)+IF(AND($K$12="Lektion",Q12&gt;0),$L$12,0)+IF(AND($K$13="Lektion",Q13&gt;0),$L$13,0)+IF(AND($K$14="Lektion",Q14&gt;0),$L$14,0)+IF(AND($K$15="Lektion",Q15&gt;0),$L$15,0)+IF(AND($K$16="Lektion",Q16&gt;0),$L$16,0)+IF(AND($K$17="Lektion",Q17&gt;0),$L$17,0)+IF(AND($K$18="Lektion",Q18&gt;0),$L$18,0)+IF(AND($K$19="Lektion",Q19&gt;0),$L$19,0)+IF(AND($K$20="Lektion",Q20&gt;0),$L$20,0)+IF(AND($K$21="Lektion",Q21&gt;0),$L$21,0)+IF(AND($K$22="Lektion",Q22&gt;0),$L$22,0)+IF(AND($K$23="Lektion",Q23&gt;0),$L$23,0)+IF(AND($K$24="Lektion",Q24&gt;0),$L$24,0)+IF(AND($K$25="Lektion",Q25&gt;0),$L$25,0)+IF(AND($K$26="Lektion",Q26&gt;0),$L$26,0)+IF(AND($K$27="Lektion",Q27&gt;0),$L$27,0)+IF(AND($K$28="Lektion",Q28&gt;0),$L$28,0)+IF(AND($K$29="Lektion",Q29&gt;0),$L$29,0)</f>
        <v>0</v>
      </c>
      <c r="R30" s="278">
        <f>IF(AND($K$11="Lektion",R11&gt;0),$L$11,0)+IF(AND($K$12="Lektion",R12&gt;0),$L$12,0)+IF(AND($K$13="Lektion",R13&gt;0),$L$13,0)+IF(AND($K$14="Lektion",R14&gt;0),$L$14,0)+IF(AND($K$15="Lektion",R15&gt;0),$L$15,0)+IF(AND($K$16="Lektion",R16&gt;0),$L$16,0)+IF(AND($K$17="Lektion",R17&gt;0),$L$17,0)+IF(AND($K$18="Lektion",R18&gt;0),$L$18,0)+IF(AND($K$19="Lektion",R19&gt;0),$L$19,0)+IF(AND($K$20="Lektion",R20&gt;0),$L$20,0)+IF(AND($K$21="Lektion",R21&gt;0),$L$21,0)+IF(AND($K$22="Lektion",R22&gt;0),$L$22,0)+IF(AND($K$23="Lektion",R23&gt;0),$L$23,0)+IF(AND($K$24="Lektion",R24&gt;0),$L$24,0)+IF(AND($K$25="Lektion",R25&gt;0),$L$25,0)+IF(AND($K$26="Lektion",R26&gt;0),$L$26,0)+IF(AND($K$27="Lektion",R27&gt;0),$L$27,0)+IF(AND($K$28="Lektion",R28&gt;0),$L$28,0)+IF(AND($K$29="Lektion",R29&gt;0),$L$29,0)</f>
        <v>0</v>
      </c>
      <c r="S30" s="278">
        <f>IF(AND($K$11="Lektion",S11&gt;0),$L$11,0)+IF(AND($K$12="Lektion",S12&gt;0),$L$12,0)+IF(AND($K$13="Lektion",S13&gt;0),$L$13,0)+IF(AND($K$14="Lektion",S14&gt;0),$L$14,0)+IF(AND($K$15="Lektion",S15&gt;0),$L$15,0)+IF(AND($K$16="Lektion",S16&gt;0),$L$16,0)+IF(AND($K$17="Lektion",S17&gt;0),$L$17,0)+IF(AND($K$18="Lektion",S18&gt;0),$L$18,0)+IF(AND($K$19="Lektion",S19&gt;0),$L$19,0)+IF(AND($K$20="Lektion",S20&gt;0),$L$20,0)+IF(AND($K$21="Lektion",S21&gt;0),$L$21,0)+IF(AND($K$22="Lektion",S22&gt;0),$L$22,0)+IF(AND($K$23="Lektion",S23&gt;0),$L$23,0)+IF(AND($K$24="Lektion",S24&gt;0),$L$24,0)+IF(AND($K$25="Lektion",S25&gt;0),$L$25,0)+IF(AND($K$26="Lektion",S26&gt;0),$L$26,0)+IF(AND($K$27="Lektion",S27&gt;0),$L$27,0)+IF(AND($K$28="Lektion",S28&gt;0),$L$28,0)+IF(AND($K$29="Lektion",S29&gt;0),$L$29,0)</f>
        <v>0</v>
      </c>
      <c r="T30" s="538">
        <f>SUM(O30:S30)</f>
        <v>0</v>
      </c>
      <c r="U30" s="778" t="str">
        <f>K30</f>
        <v>Undervisningstimer ifølge skema</v>
      </c>
      <c r="V30" s="778"/>
      <c r="W30" s="778"/>
      <c r="X30" s="778"/>
      <c r="Y30" s="278">
        <f>IF(AND($U$11="Lektion",Y11&gt;0),$V$11,0)+IF(AND($U$12="Lektion",Y12&gt;0),$V$12,0)+IF(AND($U$13="Lektion",Y13&gt;0),$V$13,0)+IF(AND($U$14="Lektion",Y14&gt;0),$V$14,0)+IF(AND($U$15="Lektion",Y15&gt;0),$V$15,0)+IF(AND($U$16="Lektion",Y16&gt;0),$V$16,0)+IF(AND($U$17="Lektion",Y17&gt;0),$V$17,0)+IF(AND($U$18="Lektion",Y18&gt;0),$V$18,0)+IF(AND($U$19="Lektion",Y19&gt;0),$V$19,0)+IF(AND($U$20="Lektion",Y20&gt;0),$V$20,0)+IF(AND($U$21="Lektion",Y21&gt;0),$V$21,0)+IF(AND($U$22="Lektion",Y22&gt;0),$V$22,0)+IF(AND($U$23="Lektion",Y23&gt;0),$V$23,0)+IF(AND($U$24="Lektion",Y24&gt;0),$V$24,0)+IF(AND($U$25="Lektion",Y25&gt;0),$V$25,0)+IF(AND($U$26="Lektion",Y26&gt;0),$V$26,0)+IF(AND($U$27="Lektion",Y27&gt;0),$V$27,0)+IF(AND($U$28="Lektion",Y28&gt;0),$V$28,0)+IF(AND($U$29="Lektion",Y29&gt;0),$V$29,0)</f>
        <v>0</v>
      </c>
      <c r="Z30" s="278">
        <f>IF(AND($U$11="Lektion",Z11&gt;0),$V$11,0)+IF(AND($U$12="Lektion",Z12&gt;0),$V$12,0)+IF(AND($U$13="Lektion",Z13&gt;0),$V$13,0)+IF(AND($U$14="Lektion",Z14&gt;0),$V$14,0)+IF(AND($U$15="Lektion",Z15&gt;0),$V$15,0)+IF(AND($U$16="Lektion",Z16&gt;0),$V$16,0)+IF(AND($U$17="Lektion",Z17&gt;0),$V$17,0)+IF(AND($U$18="Lektion",Z18&gt;0),$V$18,0)+IF(AND($U$19="Lektion",Z19&gt;0),$V$19,0)+IF(AND($U$20="Lektion",Z20&gt;0),$V$20,0)+IF(AND($U$21="Lektion",Z21&gt;0),$V$21,0)+IF(AND($U$22="Lektion",Z22&gt;0),$V$22,0)+IF(AND($U$23="Lektion",Z23&gt;0),$V$23,0)+IF(AND($U$24="Lektion",Z24&gt;0),$V$24,0)+IF(AND($U$25="Lektion",Z25&gt;0),$V$25,0)+IF(AND($U$26="Lektion",Z26&gt;0),$V$26,0)+IF(AND($U$27="Lektion",Z27&gt;0),$V$27,0)+IF(AND($U$28="Lektion",Z28&gt;0),$V$28,0)+IF(AND($U$29="Lektion",Z29&gt;0),$V$29,0)</f>
        <v>0</v>
      </c>
      <c r="AA30" s="278">
        <f>IF(AND($U$11="Lektion",AA11&gt;0),$V$11,0)+IF(AND($U$12="Lektion",AA12&gt;0),$V$12,0)+IF(AND($U$13="Lektion",AA13&gt;0),$V$13,0)+IF(AND($U$14="Lektion",AA14&gt;0),$V$14,0)+IF(AND($U$15="Lektion",AA15&gt;0),$V$15,0)+IF(AND($U$16="Lektion",AA16&gt;0),$V$16,0)+IF(AND($U$17="Lektion",AA17&gt;0),$V$17,0)+IF(AND($U$18="Lektion",AA18&gt;0),$V$18,0)+IF(AND($U$19="Lektion",AA19&gt;0),$V$19,0)+IF(AND($U$20="Lektion",AA20&gt;0),$V$20,0)+IF(AND($U$21="Lektion",AA21&gt;0),$V$21,0)+IF(AND($U$22="Lektion",AA22&gt;0),$V$22,0)+IF(AND($U$23="Lektion",AA23&gt;0),$V$23,0)+IF(AND($U$24="Lektion",AA24&gt;0),$V$24,0)+IF(AND($U$25="Lektion",AA25&gt;0),$V$25,0)+IF(AND($U$26="Lektion",AA26&gt;0),$V$26,0)+IF(AND($U$27="Lektion",AA27&gt;0),$V$27,0)+IF(AND($U$28="Lektion",AA28&gt;0),$V$28,0)+IF(AND($U$29="Lektion",AA29&gt;0),$V$29,0)</f>
        <v>0</v>
      </c>
      <c r="AB30" s="278">
        <f>IF(AND($U$11="Lektion",AB11&gt;0),$V$11,0)+IF(AND($U$12="Lektion",AB12&gt;0),$V$12,0)+IF(AND($U$13="Lektion",AB13&gt;0),$V$13,0)+IF(AND($U$14="Lektion",AB14&gt;0),$V$14,0)+IF(AND($U$15="Lektion",AB15&gt;0),$V$15,0)+IF(AND($U$16="Lektion",AB16&gt;0),$V$16,0)+IF(AND($U$17="Lektion",AB17&gt;0),$V$17,0)+IF(AND($U$18="Lektion",AB18&gt;0),$V$18,0)+IF(AND($U$19="Lektion",AB19&gt;0),$V$19,0)+IF(AND($U$20="Lektion",AB20&gt;0),$V$20,0)+IF(AND($U$21="Lektion",AB21&gt;0),$V$21,0)+IF(AND($U$22="Lektion",AB22&gt;0),$V$22,0)+IF(AND($U$23="Lektion",AB23&gt;0),$V$23,0)+IF(AND($U$24="Lektion",AB24&gt;0),$V$24,0)+IF(AND($U$25="Lektion",AB25&gt;0),$V$25,0)+IF(AND($U$26="Lektion",AB26&gt;0),$V$26,0)+IF(AND($U$27="Lektion",AB27&gt;0),$V$27,0)+IF(AND($U$28="Lektion",AB28&gt;0),$V$28,0)+IF(AND($U$29="Lektion",AB29&gt;0),$V$29,0)</f>
        <v>0</v>
      </c>
      <c r="AC30" s="278">
        <f>IF(AND($U$11="Lektion",AC11&gt;0),$V$11,0)+IF(AND($U$12="Lektion",AC12&gt;0),$V$12,0)+IF(AND($U$13="Lektion",AC13&gt;0),$V$13,0)+IF(AND($U$14="Lektion",AC14&gt;0),$V$14,0)+IF(AND($U$15="Lektion",AC15&gt;0),$V$15,0)+IF(AND($U$16="Lektion",AC16&gt;0),$V$16,0)+IF(AND($U$17="Lektion",AC17&gt;0),$V$17,0)+IF(AND($U$18="Lektion",AC18&gt;0),$V$18,0)+IF(AND($U$19="Lektion",AC19&gt;0),$V$19,0)+IF(AND($U$20="Lektion",AC20&gt;0),$V$20,0)+IF(AND($U$21="Lektion",AC21&gt;0),$V$21,0)+IF(AND($U$22="Lektion",AC22&gt;0),$V$22,0)+IF(AND($U$23="Lektion",AC23&gt;0),$V$23,0)+IF(AND($U$24="Lektion",AC24&gt;0),$V$24,0)+IF(AND($U$25="Lektion",AC25&gt;0),$V$25,0)+IF(AND($U$26="Lektion",AC26&gt;0),$V$26,0)+IF(AND($U$27="Lektion",AC27&gt;0),$V$27,0)+IF(AND($U$28="Lektion",AC28&gt;0),$V$28,0)+IF(AND($U$29="Lektion",AC29&gt;0),$V$29,0)</f>
        <v>0</v>
      </c>
      <c r="AD30" s="538">
        <f>SUM(Y30:AC30)</f>
        <v>0</v>
      </c>
      <c r="AE30" s="778" t="str">
        <f>U30</f>
        <v>Undervisningstimer ifølge skema</v>
      </c>
      <c r="AF30" s="778"/>
      <c r="AG30" s="778"/>
      <c r="AH30" s="778"/>
      <c r="AI30" s="278">
        <f>IF(AND($AE$11="Lektion",AI11&gt;0),$AF$11,0)+IF(AND($AE$12="Lektion",AI12&gt;0),$AF$12,0)+IF(AND($AE$13="Lektion",AI13&gt;0),$AF$13,0)+IF(AND($AE$14="Lektion",AI14&gt;0),$AF$14,0)+IF(AND($AE$15="Lektion",AI15&gt;0),$AF$15,0)+IF(AND($AE$16="Lektion",AI16&gt;0),$AF$16,0)+IF(AND($AE$17="Lektion",AI17&gt;0),$AF$17,0)+IF(AND($AE$18="Lektion",AI18&gt;0),$AF$18,0)+IF(AND($AE$19="Lektion",AI19&gt;0),$AF$19,0)+IF(AND($AE$20="Lektion",AI20&gt;0),$AF$20,0)+IF(AND($AE$21="Lektion",AI21&gt;0),$AF$21,0)+IF(AND($AE$22="Lektion",AI22&gt;0),$AF$22,0)+IF(AND($AE$23="Lektion",AI23&gt;0),$AF$23,0)+IF(AND($AE$24="Lektion",AI24&gt;0),$AF$24,0)+IF(AND($AE$25="Lektion",AI25&gt;0),$AF$25,0)+IF(AND($AE$26="Lektion",AI26&gt;0),$AF$26,0)+IF(AND($AE$27="Lektion",AI27&gt;0),$AF$27,0)+IF(AND($AE$28="Lektion",AI28&gt;0),$AF$28,0)+IF(AND($AE$29="Lektion",AI29&gt;0),$AF$29,0)</f>
        <v>0</v>
      </c>
      <c r="AJ30" s="278">
        <f>IF(AND($AE$11="Lektion",AJ11&gt;0),$AF$11,0)+IF(AND($AE$12="Lektion",AJ12&gt;0),$AF$12,0)+IF(AND($AE$13="Lektion",AJ13&gt;0),$AF$13,0)+IF(AND($AE$14="Lektion",AJ14&gt;0),$AF$14,0)+IF(AND($AE$15="Lektion",AJ15&gt;0),$AF$15,0)+IF(AND($AE$16="Lektion",AJ16&gt;0),$AF$16,0)+IF(AND($AE$17="Lektion",AJ17&gt;0),$AF$17,0)+IF(AND($AE$18="Lektion",AJ18&gt;0),$AF$18,0)+IF(AND($AE$19="Lektion",AJ19&gt;0),$AF$19,0)+IF(AND($AE$20="Lektion",AJ20&gt;0),$AF$20,0)+IF(AND($AE$21="Lektion",AJ21&gt;0),$AF$21,0)+IF(AND($AE$22="Lektion",AJ22&gt;0),$AF$22,0)+IF(AND($AE$23="Lektion",AJ23&gt;0),$AF$23,0)+IF(AND($AE$24="Lektion",AJ24&gt;0),$AF$24,0)+IF(AND($AE$25="Lektion",AJ25&gt;0),$AF$25,0)+IF(AND($AE$26="Lektion",AJ26&gt;0),$AF$26,0)+IF(AND($AE$27="Lektion",AJ27&gt;0),$AF$27,0)+IF(AND($AE$28="Lektion",AJ28&gt;0),$AF$28,0)+IF(AND($AE$29="Lektion",AJ29&gt;0),$AF$29,0)</f>
        <v>0</v>
      </c>
      <c r="AK30" s="278">
        <f>IF(AND($AE$11="Lektion",AK11&gt;0),$AF$11,0)+IF(AND($AE$12="Lektion",AK12&gt;0),$AF$12,0)+IF(AND($AE$13="Lektion",AK13&gt;0),$AF$13,0)+IF(AND($AE$14="Lektion",AK14&gt;0),$AF$14,0)+IF(AND($AE$15="Lektion",AK15&gt;0),$AF$15,0)+IF(AND($AE$16="Lektion",AK16&gt;0),$AF$16,0)+IF(AND($AE$17="Lektion",AK17&gt;0),$AF$17,0)+IF(AND($AE$18="Lektion",AK18&gt;0),$AF$18,0)+IF(AND($AE$19="Lektion",AK19&gt;0),$AF$19,0)+IF(AND($AE$20="Lektion",AK20&gt;0),$AF$20,0)+IF(AND($AE$21="Lektion",AK21&gt;0),$AF$21,0)+IF(AND($AE$22="Lektion",AK22&gt;0),$AF$22,0)+IF(AND($AE$23="Lektion",AK23&gt;0),$AF$23,0)+IF(AND($AE$24="Lektion",AK24&gt;0),$AF$24,0)+IF(AND($AE$25="Lektion",AK25&gt;0),$AF$25,0)+IF(AND($AE$26="Lektion",AK26&gt;0),$AF$26,0)+IF(AND($AE$27="Lektion",AK27&gt;0),$AF$27,0)+IF(AND($AE$28="Lektion",AK28&gt;0),$AF$28,0)+IF(AND($AE$29="Lektion",AK29&gt;0),$AF$29,0)</f>
        <v>0</v>
      </c>
      <c r="AL30" s="278">
        <f>IF(AND($AE$11="Lektion",AL11&gt;0),$AF$11,0)+IF(AND($AE$12="Lektion",AL12&gt;0),$AF$12,0)+IF(AND($AE$13="Lektion",AL13&gt;0),$AF$13,0)+IF(AND($AE$14="Lektion",AL14&gt;0),$AF$14,0)+IF(AND($AE$15="Lektion",AL15&gt;0),$AF$15,0)+IF(AND($AE$16="Lektion",AL16&gt;0),$AF$16,0)+IF(AND($AE$17="Lektion",AL17&gt;0),$AF$17,0)+IF(AND($AE$18="Lektion",AL18&gt;0),$AF$18,0)+IF(AND($AE$19="Lektion",AL19&gt;0),$AF$19,0)+IF(AND($AE$20="Lektion",AL20&gt;0),$AF$20,0)+IF(AND($AE$21="Lektion",AL21&gt;0),$AF$21,0)+IF(AND($AE$22="Lektion",AL22&gt;0),$AF$22,0)+IF(AND($AE$23="Lektion",AL23&gt;0),$AF$23,0)+IF(AND($AE$24="Lektion",AL24&gt;0),$AF$24,0)+IF(AND($AE$25="Lektion",AL25&gt;0),$AF$25,0)+IF(AND($AE$26="Lektion",AL26&gt;0),$AF$26,0)+IF(AND($AE$27="Lektion",AL27&gt;0),$AF$27,0)+IF(AND($AE$28="Lektion",AL28&gt;0),$AF$28,0)+IF(AND($AE$29="Lektion",AL29&gt;0),$AF$29,0)</f>
        <v>0</v>
      </c>
      <c r="AM30" s="278">
        <f>IF(AND($AE$11="Lektion",AM11&gt;0),$AF$11,0)+IF(AND($AE$12="Lektion",AM12&gt;0),$AF$12,0)+IF(AND($AE$13="Lektion",AM13&gt;0),$AF$13,0)+IF(AND($AE$14="Lektion",AM14&gt;0),$AF$14,0)+IF(AND($AE$15="Lektion",AM15&gt;0),$AF$15,0)+IF(AND($AE$16="Lektion",AM16&gt;0),$AF$16,0)+IF(AND($AE$17="Lektion",AM17&gt;0),$AF$17,0)+IF(AND($AE$18="Lektion",AM18&gt;0),$AF$18,0)+IF(AND($AE$19="Lektion",AM19&gt;0),$AF$19,0)+IF(AND($AE$20="Lektion",AM20&gt;0),$AF$20,0)+IF(AND($AE$21="Lektion",AM21&gt;0),$AF$21,0)+IF(AND($AE$22="Lektion",AM22&gt;0),$AF$22,0)+IF(AND($AE$23="Lektion",AM23&gt;0),$AF$23,0)+IF(AND($AE$24="Lektion",AM24&gt;0),$AF$24,0)+IF(AND($AE$25="Lektion",AM25&gt;0),$AF$25,0)+IF(AND($AE$26="Lektion",AM26&gt;0),$AF$26,0)+IF(AND($AE$27="Lektion",AM27&gt;0),$AF$27,0)+IF(AND($AE$28="Lektion",AM28&gt;0),$AF$28,0)+IF(AND($AE$29="Lektion",AM29&gt;0),$AF$29,0)</f>
        <v>0</v>
      </c>
      <c r="AN30" s="538">
        <f>SUM(AI30:AM30)</f>
        <v>0</v>
      </c>
    </row>
    <row r="31" spans="1:40" ht="33" hidden="1" customHeight="1">
      <c r="A31" s="800" t="s">
        <v>518</v>
      </c>
      <c r="B31" s="762"/>
      <c r="C31" s="762"/>
      <c r="D31" s="762"/>
      <c r="E31" s="278">
        <f>IF(AND(A11="Elevpause",E11&gt;0),B11,0)+IF(AND(A12="Elevpause",E12&gt;0),B12,0)+IF(AND(A13="Elevpause",E13&gt;0),B13,0)+IF(AND(A14="Elevpause",E14&gt;0),B14,0)+IF(AND(A15="Elevpause",E15&gt;0),B15,0)+IF(AND(A16="Elevpause",E16&gt;0),B16,0)+IF(AND(A17="Elevpause",E17&gt;0),B17,0)+IF(AND(A18="Elevpause",E18&gt;0),B18,0)+IF(AND(A19="Elevpause",E19&gt;0),B19,0)+IF(AND(A20="Elevpause",E20&gt;0),B20,0)+IF(AND(A21="Elevpause",E21&gt;0),B21,0)+IF(AND(A22="Elevpause",E22&gt;0),B22,0)+IF(AND(A23="Elevpause",E23&gt;0),B23,0)+IF(AND(A24="Elevpause",E24&gt;0),B24,0)+IF(AND(A25="Elevpause",E25&gt;0),B25,0)+IF(AND(A26="Elevpause",E26&gt;0),B26,0)+IF(AND(A27="Elevpause",E27&gt;0),B27,0)+IF(AND(A28="Elevpause",E38&gt;0),B28,0)+IF(AND(A29="Elevpause",E29&gt;0),B29,0)</f>
        <v>0</v>
      </c>
      <c r="F31" s="278">
        <f>IF(AND($A$11="Elevpause",F11&gt;0),$B$11,0)+IF(AND($A$12="Elevpause",F12&gt;0),$B$12,0)+IF(AND($A$13="Elevpause",F13&gt;0),$B$13,0)+IF(AND($A$14="Elevpause",F14&gt;0),$B$14,0)+IF(AND($A$15="Elevpause",F15&gt;0),$B$15,0)+IF(AND($A$16="Elevpause",F16&gt;0),$B$16,0)+IF(AND($A$17="Elevpause",F17&gt;0),$B$17,0)+IF(AND($A$18="Elevpause",F18&gt;0),$B$18,0)+IF(AND($A$19="Elevpause",F19&gt;0),$B$19,0)+IF(AND($A$20="Elevpause",F20&gt;0),$B$20,0)+IF(AND($A$21="Elevpause",F21&gt;0),$B$21,0)+IF(AND($A$22="Elevpause",F22&gt;0),$B$22,0)+IF(AND($A$23="Elevpause",F23&gt;0),$B$23,0)+IF(AND($A$24="Elevpause",F24&gt;0),$B$24,0)+IF(AND($A$25="Elevpause",F25&gt;0),$B$25,0)+IF(AND($A$26="Elevpause",F26&gt;0),$B$26,0)+IF(AND($A$27="Elevpause",F27&gt;0),$B$27,0)+IF(AND($A$28="Elevpause",F38&gt;0),$B$28,0)+IF(AND($A$29="Elevpause",F29&gt;0),$B$29,0)</f>
        <v>0</v>
      </c>
      <c r="G31" s="278">
        <f>IF(AND($A$11="Elevpause",G11&gt;0),$B$11,0)+IF(AND($A$12="Elevpause",G12&gt;0),$B$12,0)+IF(AND($A$13="Elevpause",G13&gt;0),$B$13,0)+IF(AND($A$14="Elevpause",G14&gt;0),$B$14,0)+IF(AND($A$15="Elevpause",G15&gt;0),$B$15,0)+IF(AND($A$16="Elevpause",G16&gt;0),$B$16,0)+IF(AND($A$17="Elevpause",G17&gt;0),$B$17,0)+IF(AND($A$18="Elevpause",G18&gt;0),$B$18,0)+IF(AND($A$19="Elevpause",G19&gt;0),$B$19,0)+IF(AND($A$20="Elevpause",G20&gt;0),$B$20,0)+IF(AND($A$21="Elevpause",G21&gt;0),$B$21,0)+IF(AND($A$22="Elevpause",G22&gt;0),$B$22,0)+IF(AND($A$23="Elevpause",G23&gt;0),$B$23,0)+IF(AND($A$24="Elevpause",G24&gt;0),$B$24,0)+IF(AND($A$25="Elevpause",G25&gt;0),$B$25,0)+IF(AND($A$26="Elevpause",G26&gt;0),$B$26,0)+IF(AND($A$27="Elevpause",G27&gt;0),$B$27,0)+IF(AND($A$28="Elevpause",G38&gt;0),$B$28,0)+IF(AND($A$29="Elevpause",G29&gt;0),$B$29,0)</f>
        <v>0</v>
      </c>
      <c r="H31" s="278">
        <f>IF(AND($A$11="Elevpause",H11&gt;0),$B$11,0)+IF(AND($A$12="Elevpause",H12&gt;0),$B$12,0)+IF(AND($A$13="Elevpause",H13&gt;0),$B$13,0)+IF(AND($A$14="Elevpause",H14&gt;0),$B$14,0)+IF(AND($A$15="Elevpause",H15&gt;0),$B$15,0)+IF(AND($A$16="Elevpause",H16&gt;0),$B$16,0)+IF(AND($A$17="Elevpause",H17&gt;0),$B$17,0)+IF(AND($A$18="Elevpause",H18&gt;0),$B$18,0)+IF(AND($A$19="Elevpause",H19&gt;0),$B$19,0)+IF(AND($A$20="Elevpause",H20&gt;0),$B$20,0)+IF(AND($A$21="Elevpause",H21&gt;0),$B$21,0)+IF(AND($A$22="Elevpause",H22&gt;0),$B$22,0)+IF(AND($A$23="Elevpause",H23&gt;0),$B$23,0)+IF(AND($A$24="Elevpause",H24&gt;0),$B$24,0)+IF(AND($A$25="Elevpause",H25&gt;0),$B$25,0)+IF(AND($A$26="Elevpause",H26&gt;0),$B$26,0)+IF(AND($A$27="Elevpause",H27&gt;0),$B$27,0)+IF(AND($A$28="Elevpause",H38&gt;0),$B$28,0)+IF(AND($A$29="Elevpause",H29&gt;0),$B$29,0)</f>
        <v>0</v>
      </c>
      <c r="I31" s="278">
        <f>IF(AND($A$11="Elevpause",I11&gt;0),$B$11,0)+IF(AND($A$12="Elevpause",I12&gt;0),$B$12,0)+IF(AND($A$13="Elevpause",I13&gt;0),$B$13,0)+IF(AND($A$14="Elevpause",I14&gt;0),$B$14,0)+IF(AND($A$15="Elevpause",I15&gt;0),$B$15,0)+IF(AND($A$16="Elevpause",I16&gt;0),$B$16,0)+IF(AND($A$17="Elevpause",I17&gt;0),$B$17,0)+IF(AND($A$18="Elevpause",I18&gt;0),$B$18,0)+IF(AND($A$19="Elevpause",I19&gt;0),$B$19,0)+IF(AND($A$20="Elevpause",I20&gt;0),$B$20,0)+IF(AND($A$21="Elevpause",I21&gt;0),$B$21,0)+IF(AND($A$22="Elevpause",I22&gt;0),$B$22,0)+IF(AND($A$23="Elevpause",I23&gt;0),$B$23,0)+IF(AND($A$24="Elevpause",I24&gt;0),$B$24,0)+IF(AND($A$25="Elevpause",I25&gt;0),$B$25,0)+IF(AND($A$26="Elevpause",I26&gt;0),$B$26,0)+IF(AND($A$27="Elevpause",I27&gt;0),$B$27,0)+IF(AND($A$28="Elevpause",I38&gt;0),$B$28,0)+IF(AND($A$29="Elevpause",I29&gt;0),$B$29,0)</f>
        <v>0</v>
      </c>
      <c r="K31" s="762" t="str">
        <f>A31</f>
        <v>Elevpausetid ifølge skema</v>
      </c>
      <c r="L31" s="762"/>
      <c r="M31" s="762"/>
      <c r="N31" s="762"/>
      <c r="O31" s="278">
        <f>IF(AND(K11="Elevpause",O11&gt;0),L11,0)+IF(AND(K12="Elevpause",O12&gt;0),L12,0)+IF(AND(K13="Elevpause",O13&gt;0),L13,0)+IF(AND(K14="Elevpause",O14&gt;0),L14,0)+IF(AND(K15="Elevpause",O15&gt;0),L15,0)+IF(AND(K16="Elevpause",O16&gt;0),L16,0)+IF(AND(K17="Elevpause",O17&gt;0),L17,0)+IF(AND(K18="Elevpause",O18&gt;0),L18,0)+IF(AND(K19="Elevpause",O19&gt;0),L19,0)+IF(AND(K20="Elevpause",O20&gt;0),L20,0)+IF(AND(K21="Elevpause",O21&gt;0),L21,0)+IF(AND(K22="Elevpause",O22&gt;0),L22,0)+IF(AND(K23="Elevpause",O23&gt;0),L23,0)+IF(AND(K24="Elevpause",O24&gt;0),L24,0)+IF(AND(K25="Elevpause",O25&gt;0),L25,0)+IF(AND(K26="Elevpause",O26&gt;0),L26,0)+IF(AND(K27="Elevpause",O27&gt;0),L27,0)+IF(AND(K28="Elevpause",O38&gt;0),L28,0)+IF(AND(K29="Elevpause",O29&gt;0),L29,0)</f>
        <v>0</v>
      </c>
      <c r="P31" s="278">
        <f>IF(AND($K$11="Elevpause",P11&gt;0),$L$11,0)+IF(AND($K$12="Elevpause",P12&gt;0),$L$12,0)+IF(AND($K$13="Elevpause",P13&gt;0),$L$13,0)+IF(AND($K$14="Elevpause",P14&gt;0),$L$14,0)+IF(AND($K$15="Elevpause",P15&gt;0),$L$15,0)+IF(AND($K$16="Elevpause",P16&gt;0),$L$16,0)+IF(AND($K$17="Elevpause",P17&gt;0),$L$17,0)+IF(AND($K$18="Elevpause",P18&gt;0),$L$18,0)+IF(AND($K$19="Elevpause",P19&gt;0),$L$19,0)+IF(AND($K$20="Elevpause",P20&gt;0),$L$20,0)+IF(AND($K$21="Elevpause",P21&gt;0),$L$21,0)+IF(AND($K$22="Elevpause",P22&gt;0),$L$22,0)+IF(AND($K$23="Elevpause",P23&gt;0),$L$23,0)+IF(AND($K$24="Elevpause",P24&gt;0),$L$24,0)+IF(AND($K$25="Elevpause",P25&gt;0),$L$25,0)+IF(AND($K$26="Elevpause",P26&gt;0),$L$26,0)+IF(AND($K$27="Elevpause",P27&gt;0),$L$27,0)+IF(AND($K$28="Elevpause",P38&gt;0),$L$28,0)+IF(AND($K$29="Elevpause",P29&gt;0),$L$29,0)</f>
        <v>0</v>
      </c>
      <c r="Q31" s="278">
        <f>IF(AND($K$11="Elevpause",Q11&gt;0),$L$11,0)+IF(AND($K$12="Elevpause",Q12&gt;0),$L$12,0)+IF(AND($K$13="Elevpause",Q13&gt;0),$L$13,0)+IF(AND($K$14="Elevpause",Q14&gt;0),$L$14,0)+IF(AND($K$15="Elevpause",Q15&gt;0),$L$15,0)+IF(AND($K$16="Elevpause",Q16&gt;0),$L$16,0)+IF(AND($K$17="Elevpause",Q17&gt;0),$L$17,0)+IF(AND($K$18="Elevpause",Q18&gt;0),$L$18,0)+IF(AND($K$19="Elevpause",Q19&gt;0),$L$19,0)+IF(AND($K$20="Elevpause",Q20&gt;0),$L$20,0)+IF(AND($K$21="Elevpause",Q21&gt;0),$L$21,0)+IF(AND($K$22="Elevpause",Q22&gt;0),$L$22,0)+IF(AND($K$23="Elevpause",Q23&gt;0),$L$23,0)+IF(AND($K$24="Elevpause",Q24&gt;0),$L$24,0)+IF(AND($K$25="Elevpause",Q25&gt;0),$L$25,0)+IF(AND($K$26="Elevpause",Q26&gt;0),$L$26,0)+IF(AND($K$27="Elevpause",Q27&gt;0),$L$27,0)+IF(AND($K$28="Elevpause",Q38&gt;0),$L$28,0)+IF(AND($K$29="Elevpause",Q29&gt;0),$L$29,0)</f>
        <v>0</v>
      </c>
      <c r="R31" s="278">
        <f>IF(AND($K$11="Elevpause",R11&gt;0),$L$11,0)+IF(AND($K$12="Elevpause",R12&gt;0),$L$12,0)+IF(AND($K$13="Elevpause",R13&gt;0),$L$13,0)+IF(AND($K$14="Elevpause",R14&gt;0),$L$14,0)+IF(AND($K$15="Elevpause",R15&gt;0),$L$15,0)+IF(AND($K$16="Elevpause",R16&gt;0),$L$16,0)+IF(AND($K$17="Elevpause",R17&gt;0),$L$17,0)+IF(AND($K$18="Elevpause",R18&gt;0),$L$18,0)+IF(AND($K$19="Elevpause",R19&gt;0),$L$19,0)+IF(AND($K$20="Elevpause",R20&gt;0),$L$20,0)+IF(AND($K$21="Elevpause",R21&gt;0),$L$21,0)+IF(AND($K$22="Elevpause",R22&gt;0),$L$22,0)+IF(AND($K$23="Elevpause",R23&gt;0),$L$23,0)+IF(AND($K$24="Elevpause",R24&gt;0),$L$24,0)+IF(AND($K$25="Elevpause",R25&gt;0),$L$25,0)+IF(AND($K$26="Elevpause",R26&gt;0),$L$26,0)+IF(AND($K$27="Elevpause",R27&gt;0),$L$27,0)+IF(AND($K$28="Elevpause",R38&gt;0),$L$28,0)+IF(AND($K$29="Elevpause",R29&gt;0),$L$29,0)</f>
        <v>0</v>
      </c>
      <c r="S31" s="278">
        <f>IF(AND($K$11="Elevpause",S11&gt;0),$L$11,0)+IF(AND($K$12="Elevpause",S12&gt;0),$L$12,0)+IF(AND($K$13="Elevpause",S13&gt;0),$L$13,0)+IF(AND($K$14="Elevpause",S14&gt;0),$L$14,0)+IF(AND($K$15="Elevpause",S15&gt;0),$L$15,0)+IF(AND($K$16="Elevpause",S16&gt;0),$L$16,0)+IF(AND($K$17="Elevpause",S17&gt;0),$L$17,0)+IF(AND($K$18="Elevpause",S18&gt;0),$L$18,0)+IF(AND($K$19="Elevpause",S19&gt;0),$L$19,0)+IF(AND($K$20="Elevpause",S20&gt;0),$L$20,0)+IF(AND($K$21="Elevpause",S21&gt;0),$L$21,0)+IF(AND($K$22="Elevpause",S22&gt;0),$L$22,0)+IF(AND($K$23="Elevpause",S23&gt;0),$L$23,0)+IF(AND($K$24="Elevpause",S24&gt;0),$L$24,0)+IF(AND($K$25="Elevpause",S25&gt;0),$L$25,0)+IF(AND($K$26="Elevpause",S26&gt;0),$L$26,0)+IF(AND($K$27="Elevpause",S27&gt;0),$L$27,0)+IF(AND($K$28="Elevpause",S38&gt;0),$L$28,0)+IF(AND($K$29="Elevpause",S29&gt;0),$L$29,0)</f>
        <v>0</v>
      </c>
      <c r="U31" s="762" t="str">
        <f>K31</f>
        <v>Elevpausetid ifølge skema</v>
      </c>
      <c r="V31" s="762"/>
      <c r="W31" s="762"/>
      <c r="X31" s="762"/>
      <c r="Y31" s="278">
        <f>IF(AND($U$11="Elevpause",Y11&gt;0),$V$11,0)+IF(AND($U$12="Elevpause",Y12&gt;0),$V$12,0)+IF(AND($U$13="Elevpause",Y13&gt;0),$V$13,0)+IF(AND($U$14="Elevpause",Y14&gt;0),$V$14,0)+IF(AND($U$15="Elevpause",Y15&gt;0),$V$15,0)+IF(AND($U$16="Elevpause",Y16&gt;0),$V$16,0)+IF(AND($U$17="Elevpause",Y17&gt;0),$V$17,0)+IF(AND($U$18="Elevpause",Y18&gt;0),$V$18,0)+IF(AND($U$19="Elevpause",Y19&gt;0),$V$19,0)+IF(AND($U$20="Elevpause",Y20&gt;0),$V$20,0)+IF(AND($U$21="Elevpause",Y21&gt;0),$V$21,0)+IF(AND($U$22="Elevpause",Y22&gt;0),$V$22,0)+IF(AND($U$23="Elevpause",Y23&gt;0),$V$23,0)+IF(AND($U$24="Elevpause",Y24&gt;0),$V$24,0)+IF(AND($U$25="Elevpause",Y25&gt;0),$V$25,0)+IF(AND($U$26="Elevpause",Y26&gt;0),$V$26,0)+IF(AND($U$27="Elevpause",Y27&gt;0),$V$27,0)+IF(AND($U$28="Elevpause",Y38&gt;0),$V$28,0)+IF(AND($U$29="Elevpause",Y29&gt;0),$V$29,0)</f>
        <v>0</v>
      </c>
      <c r="Z31" s="278">
        <f>IF(AND($U$11="Elevpause",Z11&gt;0),$V$11,0)+IF(AND($U$12="Elevpause",Z12&gt;0),$V$12,0)+IF(AND($U$13="Elevpause",Z13&gt;0),$V$13,0)+IF(AND($U$14="Elevpause",Z14&gt;0),$V$14,0)+IF(AND($U$15="Elevpause",Z15&gt;0),$V$15,0)+IF(AND($U$16="Elevpause",Z16&gt;0),$V$16,0)+IF(AND($U$17="Elevpause",Z17&gt;0),$V$17,0)+IF(AND($U$18="Elevpause",Z18&gt;0),$V$18,0)+IF(AND($U$19="Elevpause",Z19&gt;0),$V$19,0)+IF(AND($U$20="Elevpause",Z20&gt;0),$V$20,0)+IF(AND($U$21="Elevpause",Z21&gt;0),$V$21,0)+IF(AND($U$22="Elevpause",Z22&gt;0),$V$22,0)+IF(AND($U$23="Elevpause",Z23&gt;0),$V$23,0)+IF(AND($U$24="Elevpause",Z24&gt;0),$V$24,0)+IF(AND($U$25="Elevpause",Z25&gt;0),$V$25,0)+IF(AND($U$26="Elevpause",Z26&gt;0),$V$26,0)+IF(AND($U$27="Elevpause",Z27&gt;0),$V$27,0)+IF(AND($U$28="Elevpause",Z38&gt;0),$V$28,0)+IF(AND($U$29="Elevpause",Z29&gt;0),$V$29,0)</f>
        <v>0</v>
      </c>
      <c r="AA31" s="278">
        <f>IF(AND($U$11="Elevpause",AA11&gt;0),$V$11,0)+IF(AND($U$12="Elevpause",AA12&gt;0),$V$12,0)+IF(AND($U$13="Elevpause",AA13&gt;0),$V$13,0)+IF(AND($U$14="Elevpause",AA14&gt;0),$V$14,0)+IF(AND($U$15="Elevpause",AA15&gt;0),$V$15,0)+IF(AND($U$16="Elevpause",AA16&gt;0),$V$16,0)+IF(AND($U$17="Elevpause",AA17&gt;0),$V$17,0)+IF(AND($U$18="Elevpause",AA18&gt;0),$V$18,0)+IF(AND($U$19="Elevpause",AA19&gt;0),$V$19,0)+IF(AND($U$20="Elevpause",AA20&gt;0),$V$20,0)+IF(AND($U$21="Elevpause",AA21&gt;0),$V$21,0)+IF(AND($U$22="Elevpause",AA22&gt;0),$V$22,0)+IF(AND($U$23="Elevpause",AA23&gt;0),$V$23,0)+IF(AND($U$24="Elevpause",AA24&gt;0),$V$24,0)+IF(AND($U$25="Elevpause",AA25&gt;0),$V$25,0)+IF(AND($U$26="Elevpause",AA26&gt;0),$V$26,0)+IF(AND($U$27="Elevpause",AA27&gt;0),$V$27,0)+IF(AND($U$28="Elevpause",AA38&gt;0),$V$28,0)+IF(AND($U$29="Elevpause",AA29&gt;0),$V$29,0)</f>
        <v>0</v>
      </c>
      <c r="AB31" s="278">
        <f>IF(AND($U$11="Elevpause",AB11&gt;0),$V$11,0)+IF(AND($U$12="Elevpause",AB12&gt;0),$V$12,0)+IF(AND($U$13="Elevpause",AB13&gt;0),$V$13,0)+IF(AND($U$14="Elevpause",AB14&gt;0),$V$14,0)+IF(AND($U$15="Elevpause",AB15&gt;0),$V$15,0)+IF(AND($U$16="Elevpause",AB16&gt;0),$V$16,0)+IF(AND($U$17="Elevpause",AB17&gt;0),$V$17,0)+IF(AND($U$18="Elevpause",AB18&gt;0),$V$18,0)+IF(AND($U$19="Elevpause",AB19&gt;0),$V$19,0)+IF(AND($U$20="Elevpause",AB20&gt;0),$V$20,0)+IF(AND($U$21="Elevpause",AB21&gt;0),$V$21,0)+IF(AND($U$22="Elevpause",AB22&gt;0),$V$22,0)+IF(AND($U$23="Elevpause",AB23&gt;0),$V$23,0)+IF(AND($U$24="Elevpause",AB24&gt;0),$V$24,0)+IF(AND($U$25="Elevpause",AB25&gt;0),$V$25,0)+IF(AND($U$26="Elevpause",AB26&gt;0),$V$26,0)+IF(AND($U$27="Elevpause",AB27&gt;0),$V$27,0)+IF(AND($U$28="Elevpause",AB38&gt;0),$V$28,0)+IF(AND($U$29="Elevpause",AB29&gt;0),$V$29,0)</f>
        <v>0</v>
      </c>
      <c r="AC31" s="278">
        <f>IF(AND($U$11="Elevpause",AC11&gt;0),$V$11,0)+IF(AND($U$12="Elevpause",AC12&gt;0),$V$12,0)+IF(AND($U$13="Elevpause",AC13&gt;0),$V$13,0)+IF(AND($U$14="Elevpause",AC14&gt;0),$V$14,0)+IF(AND($U$15="Elevpause",AC15&gt;0),$V$15,0)+IF(AND($U$16="Elevpause",AC16&gt;0),$V$16,0)+IF(AND($U$17="Elevpause",AC17&gt;0),$V$17,0)+IF(AND($U$18="Elevpause",AC18&gt;0),$V$18,0)+IF(AND($U$19="Elevpause",AC19&gt;0),$V$19,0)+IF(AND($U$20="Elevpause",AC20&gt;0),$V$20,0)+IF(AND($U$21="Elevpause",AC21&gt;0),$V$21,0)+IF(AND($U$22="Elevpause",AC22&gt;0),$V$22,0)+IF(AND($U$23="Elevpause",AC23&gt;0),$V$23,0)+IF(AND($U$24="Elevpause",AC24&gt;0),$V$24,0)+IF(AND($U$25="Elevpause",AC25&gt;0),$V$25,0)+IF(AND($U$26="Elevpause",AC26&gt;0),$V$26,0)+IF(AND($U$27="Elevpause",AC27&gt;0),$V$27,0)+IF(AND($U$28="Elevpause",AC38&gt;0),$V$28,0)+IF(AND($U$29="Elevpause",AC29&gt;0),$V$29,0)</f>
        <v>0</v>
      </c>
      <c r="AE31" s="762" t="str">
        <f>U31</f>
        <v>Elevpausetid ifølge skema</v>
      </c>
      <c r="AF31" s="762"/>
      <c r="AG31" s="762"/>
      <c r="AH31" s="762"/>
      <c r="AI31" s="278">
        <f>IF(AND($AE$11="Elevpause",AI11&gt;0),$AF$11,0)+IF(AND($AE$12="Elevpause",AI12&gt;0),$AF$12,0)+IF(AND($AE$13="Elevpause",AI13&gt;0),$AF$13,0)+IF(AND($AE$14="Elevpause",AI14&gt;0),$AF$14,0)+IF(AND($AE$15="Elevpause",AI15&gt;0),$AF$15,0)+IF(AND($AE$16="Elevpause",AI16&gt;0),$AF$16,0)+IF(AND($AE$17="Elevpause",AI17&gt;0),$AF$17,0)+IF(AND($AE$18="Elevpause",AI18&gt;0),$AF$18,0)+IF(AND($AE$19="Elevpause",AI19&gt;0),$AF$19,0)+IF(AND($AE$20="Elevpause",AI20&gt;0),$AF$20,0)+IF(AND($AE$21="Elevpause",AI21&gt;0),$AF$21,0)+IF(AND($AE$22="Elevpause",AI22&gt;0),$AF$22,0)+IF(AND($AE$23="Elevpause",AI23&gt;0),$AF$23,0)+IF(AND($AE$24="Elevpause",AI24&gt;0),$AF$24,0)+IF(AND($AE$25="Elevpause",AI25&gt;0),$AF$25,0)+IF(AND($AE$26="Elevpause",AI26&gt;0),$AF$26,0)+IF(AND($AE$27="Elevpause",AI27&gt;0),$AF$27,0)+IF(AND($AE$28="Elevpause",AI38&gt;0),$AF$28,0)+IF(AND($AE$29="Elevpause",AI29&gt;0),$AF$29,0)</f>
        <v>0</v>
      </c>
      <c r="AJ31" s="278">
        <f>IF(AND($AE$11="Elevpause",AJ11&gt;0),$AF$11,0)+IF(AND($AE$12="Elevpause",AJ12&gt;0),$AF$12,0)+IF(AND($AE$13="Elevpause",AJ13&gt;0),$AF$13,0)+IF(AND($AE$14="Elevpause",AJ14&gt;0),$AF$14,0)+IF(AND($AE$15="Elevpause",AJ15&gt;0),$AF$15,0)+IF(AND($AE$16="Elevpause",AJ16&gt;0),$AF$16,0)+IF(AND($AE$17="Elevpause",AJ17&gt;0),$AF$17,0)+IF(AND($AE$18="Elevpause",AJ18&gt;0),$AF$18,0)+IF(AND($AE$19="Elevpause",AJ19&gt;0),$AF$19,0)+IF(AND($AE$20="Elevpause",AJ20&gt;0),$AF$20,0)+IF(AND($AE$21="Elevpause",AJ21&gt;0),$AF$21,0)+IF(AND($AE$22="Elevpause",AJ22&gt;0),$AF$22,0)+IF(AND($AE$23="Elevpause",AJ23&gt;0),$AF$23,0)+IF(AND($AE$24="Elevpause",AJ24&gt;0),$AF$24,0)+IF(AND($AE$25="Elevpause",AJ25&gt;0),$AF$25,0)+IF(AND($AE$26="Elevpause",AJ26&gt;0),$AF$26,0)+IF(AND($AE$27="Elevpause",AJ27&gt;0),$AF$27,0)+IF(AND($AE$28="Elevpause",AJ38&gt;0),$AF$28,0)+IF(AND($AE$29="Elevpause",AJ29&gt;0),$AF$29,0)</f>
        <v>0</v>
      </c>
      <c r="AK31" s="278">
        <f>IF(AND($AE$11="Elevpause",AK11&gt;0),$AF$11,0)+IF(AND($AE$12="Elevpause",AK12&gt;0),$AF$12,0)+IF(AND($AE$13="Elevpause",AK13&gt;0),$AF$13,0)+IF(AND($AE$14="Elevpause",AK14&gt;0),$AF$14,0)+IF(AND($AE$15="Elevpause",AK15&gt;0),$AF$15,0)+IF(AND($AE$16="Elevpause",AK16&gt;0),$AF$16,0)+IF(AND($AE$17="Elevpause",AK17&gt;0),$AF$17,0)+IF(AND($AE$18="Elevpause",AK18&gt;0),$AF$18,0)+IF(AND($AE$19="Elevpause",AK19&gt;0),$AF$19,0)+IF(AND($AE$20="Elevpause",AK20&gt;0),$AF$20,0)+IF(AND($AE$21="Elevpause",AK21&gt;0),$AF$21,0)+IF(AND($AE$22="Elevpause",AK22&gt;0),$AF$22,0)+IF(AND($AE$23="Elevpause",AK23&gt;0),$AF$23,0)+IF(AND($AE$24="Elevpause",AK24&gt;0),$AF$24,0)+IF(AND($AE$25="Elevpause",AK25&gt;0),$AF$25,0)+IF(AND($AE$26="Elevpause",AK26&gt;0),$AF$26,0)+IF(AND($AE$27="Elevpause",AK27&gt;0),$AF$27,0)+IF(AND($AE$28="Elevpause",AK38&gt;0),$AF$28,0)+IF(AND($AE$29="Elevpause",AK29&gt;0),$AF$29,0)</f>
        <v>0</v>
      </c>
      <c r="AL31" s="278">
        <f>IF(AND($AE$11="Elevpause",AL11&gt;0),$AF$11,0)+IF(AND($AE$12="Elevpause",AL12&gt;0),$AF$12,0)+IF(AND($AE$13="Elevpause",AL13&gt;0),$AF$13,0)+IF(AND($AE$14="Elevpause",AL14&gt;0),$AF$14,0)+IF(AND($AE$15="Elevpause",AL15&gt;0),$AF$15,0)+IF(AND($AE$16="Elevpause",AL16&gt;0),$AF$16,0)+IF(AND($AE$17="Elevpause",AL17&gt;0),$AF$17,0)+IF(AND($AE$18="Elevpause",AL18&gt;0),$AF$18,0)+IF(AND($AE$19="Elevpause",AL19&gt;0),$AF$19,0)+IF(AND($AE$20="Elevpause",AL20&gt;0),$AF$20,0)+IF(AND($AE$21="Elevpause",AL21&gt;0),$AF$21,0)+IF(AND($AE$22="Elevpause",AL22&gt;0),$AF$22,0)+IF(AND($AE$23="Elevpause",AL23&gt;0),$AF$23,0)+IF(AND($AE$24="Elevpause",AL24&gt;0),$AF$24,0)+IF(AND($AE$25="Elevpause",AL25&gt;0),$AF$25,0)+IF(AND($AE$26="Elevpause",AL26&gt;0),$AF$26,0)+IF(AND($AE$27="Elevpause",AL27&gt;0),$AF$27,0)+IF(AND($AE$28="Elevpause",AL38&gt;0),$AF$28,0)+IF(AND($AE$29="Elevpause",AL29&gt;0),$AF$29,0)</f>
        <v>0</v>
      </c>
      <c r="AM31" s="278">
        <f>IF(AND($AE$11="Elevpause",AM11&gt;0),$AF$11,0)+IF(AND($AE$12="Elevpause",AM12&gt;0),$AF$12,0)+IF(AND($AE$13="Elevpause",AM13&gt;0),$AF$13,0)+IF(AND($AE$14="Elevpause",AM14&gt;0),$AF$14,0)+IF(AND($AE$15="Elevpause",AM15&gt;0),$AF$15,0)+IF(AND($AE$16="Elevpause",AM16&gt;0),$AF$16,0)+IF(AND($AE$17="Elevpause",AM17&gt;0),$AF$17,0)+IF(AND($AE$18="Elevpause",AM18&gt;0),$AF$18,0)+IF(AND($AE$19="Elevpause",AM19&gt;0),$AF$19,0)+IF(AND($AE$20="Elevpause",AM20&gt;0),$AF$20,0)+IF(AND($AE$21="Elevpause",AM21&gt;0),$AF$21,0)+IF(AND($AE$22="Elevpause",AM22&gt;0),$AF$22,0)+IF(AND($AE$23="Elevpause",AM23&gt;0),$AF$23,0)+IF(AND($AE$24="Elevpause",AM24&gt;0),$AF$24,0)+IF(AND($AE$25="Elevpause",AM25&gt;0),$AF$25,0)+IF(AND($AE$26="Elevpause",AM26&gt;0),$AF$26,0)+IF(AND($AE$27="Elevpause",AM27&gt;0),$AF$27,0)+IF(AND($AE$28="Elevpause",AM38&gt;0),$AF$28,0)+IF(AND($AE$29="Elevpause",AM29&gt;0),$AF$29,0)</f>
        <v>0</v>
      </c>
    </row>
    <row r="32" spans="1:40" ht="33" hidden="1" customHeight="1">
      <c r="A32" s="798" t="str">
        <f>"Antal ugedage der læses "&amp;A5&amp;":"</f>
        <v>Antal ugedage der læses Skema 1:</v>
      </c>
      <c r="B32" s="799"/>
      <c r="C32" s="799"/>
      <c r="D32" s="799"/>
      <c r="E32" s="223">
        <f>August!$G$64+September!$G$63+Oktober!$G$64+November!$G$63+December!$G$64+Januar!$G$64+Februar!$G$62+Marts!$G$64+April!$G$63+Maj!$G$64+Juni!$G$63+Juli!$G$64</f>
        <v>39</v>
      </c>
      <c r="F32" s="223">
        <f>August!$G$65+September!$G$64+Oktober!$G$65+November!$G$64+December!$G$65+Januar!$G$65+Februar!$G$63+Marts!$G$65+April!$G$64+Maj!$G$65+Juni!$G$64+Juli!$G$65</f>
        <v>41</v>
      </c>
      <c r="G32" s="223">
        <f>August!$G$66+September!$G$65+Oktober!$G$66+November!$G$65+December!$G$66+Januar!$G$66+Februar!$G$64+Marts!$G$66+April!$G$65+Maj!$G$66+Juni!$G$65+Juli!$G$66</f>
        <v>40</v>
      </c>
      <c r="H32" s="223">
        <f>August!$G$67+September!$G$66+Oktober!$G$67+November!$G$66+December!$G$67+Januar!$G$67+Februar!$G$65+Marts!$G$67+April!$G$66+Maj!$G$67+Juni!$G$66+Juli!$G$67</f>
        <v>40</v>
      </c>
      <c r="I32" s="223">
        <f>August!$G$68+September!$G$67+Oktober!$G$68+November!$G$67+December!$G$68+Januar!$G$68+Februar!$G$66+Marts!$G$68+April!$G$67+Maj!$G$68+Juni!$G$67+Juli!$G$68</f>
        <v>40</v>
      </c>
      <c r="K32" s="224"/>
      <c r="L32" s="225"/>
      <c r="M32" s="226"/>
      <c r="N32" s="226"/>
      <c r="O32" s="223">
        <f>August!$G$70+September!$G$69+Oktober!$G$70+November!$G$69+December!$G$70+Januar!$G$70+Februar!$G$68+Marts!$G$70+April!$G$69+Maj!$G$70+Juni!$G$69+Juli!$G$70</f>
        <v>0</v>
      </c>
      <c r="P32" s="223">
        <f>August!$G$71+September!$G$70+Oktober!$G$71+November!$G$70+December!$G$71+Januar!$G$71+Februar!$G$69+Marts!$G$71+April!$G$70+Maj!$G$71+Juni!$G$70+Juli!$G$71</f>
        <v>0</v>
      </c>
      <c r="Q32" s="223">
        <f>August!$G$72+September!$G$71+Oktober!$G$72+November!$G$71+December!$G$72+Januar!$G$72+Februar!$G$70+Marts!$G$72+April!$G$71+Maj!$G$72+Juni!$G$71+Juli!$G$72</f>
        <v>0</v>
      </c>
      <c r="R32" s="223">
        <f>August!$G$73+September!$G$72+Oktober!$G$73+November!$G$72+December!$G$73+Januar!$G$73+Februar!$G$71+Marts!$G$73+April!$G$72+Maj!$G$73+Juni!$G$72+Juli!$G$73</f>
        <v>0</v>
      </c>
      <c r="S32" s="223">
        <f>August!$G$74+September!$G$73+Oktober!$G$74+November!$G$73+December!$G$74+Januar!$G$74+Februar!$G$72+Marts!$G$74+April!$G$73+Maj!$G$74+Juni!$G$73+Juli!$G$74</f>
        <v>0</v>
      </c>
      <c r="U32" s="224"/>
      <c r="V32" s="225"/>
      <c r="W32" s="226"/>
      <c r="X32" s="226"/>
      <c r="Y32" s="223">
        <f>August!$G$76+September!$G$75+Oktober!$G$76+November!$G$75+December!$G$76+Januar!$G$76+Februar!$G$74+Marts!$G$76+April!$G$75+Maj!$G$76+Juni!$G$75+Juli!$G$76</f>
        <v>0</v>
      </c>
      <c r="Z32" s="223">
        <f>August!$G$77+September!$G$76+Oktober!$G$77+November!$G$76+December!$G$77+Januar!$G$77+Februar!$G$75+Marts!$G$77+April!$G$76+Maj!$G$77+Juni!$G$76+Juli!$G$77</f>
        <v>0</v>
      </c>
      <c r="AA32" s="223">
        <f>August!$G$78+September!$G$77+Oktober!$G$78+November!$G$77+December!$G$78+Januar!$G$78+Februar!$G$76+Marts!$G$78+April!$G$77+Maj!$G$78+Juni!$G$77+Juli!$G$78</f>
        <v>0</v>
      </c>
      <c r="AB32" s="223">
        <f>August!$G$79+September!$G$78+Oktober!$G$79+November!$G$78+December!$G$79+Januar!$G$79+Februar!$G$77+Marts!$G$79+April!$G$78+Maj!$G$79+Juni!$G$78+Juli!$G$79</f>
        <v>0</v>
      </c>
      <c r="AC32" s="223">
        <f>August!$G$80+September!$G$79+Oktober!$G$80+November!$G$79+December!$G$80+Januar!$G$80+Februar!$G$78+Marts!$G$80+April!$G$79+Maj!$G$80+Juni!$G$79+Juli!$G$80</f>
        <v>0</v>
      </c>
      <c r="AE32" s="224"/>
      <c r="AF32" s="225"/>
      <c r="AG32" s="226"/>
      <c r="AH32" s="226"/>
      <c r="AI32" s="223">
        <f>August!$G$82+September!$G$81+Oktober!$G$82+November!$G$81+December!$G$82+Januar!$G$82+Februar!$G$80+Marts!$G$82+April!$G$81+Maj!$G$82+Juni!$G$81+Juli!$G$82</f>
        <v>0</v>
      </c>
      <c r="AJ32" s="223">
        <f>August!$G$83+September!$G$82+Oktober!$G$83+November!$G$82+December!$G$83+Januar!$G$83+Februar!$G$81+Marts!$G$83+April!$G$82+Maj!$G$83+Juni!$G$82+Juli!$G$83</f>
        <v>0</v>
      </c>
      <c r="AK32" s="223">
        <f>August!$G$84+September!$G$83+Oktober!$G$84+November!$G$83+December!$G$84+Januar!$G$84+Februar!$G$82+Marts!$G$84+April!$G$83+Maj!$G$84+Juni!$G$83+Juli!$G$84</f>
        <v>0</v>
      </c>
      <c r="AL32" s="223">
        <f>August!$G$85+September!$G$84+Oktober!$G$85+November!$G$84+December!$G$85+Januar!$G$85+Februar!$G$83+Marts!$G$85+April!$G$84+Maj!$G$85+Juni!$G$84+Juli!$G$85</f>
        <v>0</v>
      </c>
      <c r="AM32" s="223">
        <f>August!$G$86+September!$G$85+Oktober!$G$86+November!$G$85+December!$G$86+Januar!$G$86+Februar!$G$84+Marts!$G$86+April!$G$85+Maj!$G$86+Juni!$G$85+Juli!$G$86</f>
        <v>0</v>
      </c>
      <c r="AN32">
        <f>SUM(D32:AM32)</f>
        <v>200</v>
      </c>
    </row>
    <row r="33" spans="1:41" hidden="1">
      <c r="E33" t="s">
        <v>246</v>
      </c>
    </row>
    <row r="34" spans="1:41" hidden="1">
      <c r="A34" t="s">
        <v>245</v>
      </c>
      <c r="I34" t="s">
        <v>305</v>
      </c>
    </row>
    <row r="35" spans="1:41" hidden="1"/>
    <row r="36" spans="1:41" hidden="1">
      <c r="E36" s="1">
        <f>E30*24</f>
        <v>0</v>
      </c>
      <c r="F36" s="1">
        <f t="shared" ref="F36:AM36" si="12">F30*24</f>
        <v>0</v>
      </c>
      <c r="G36" s="1">
        <f t="shared" si="12"/>
        <v>0</v>
      </c>
      <c r="H36" s="1">
        <f t="shared" si="12"/>
        <v>0</v>
      </c>
      <c r="I36" s="1">
        <f t="shared" si="12"/>
        <v>0</v>
      </c>
      <c r="J36" s="1">
        <f t="shared" si="12"/>
        <v>0</v>
      </c>
      <c r="K36" s="1"/>
      <c r="L36" s="1">
        <f t="shared" si="12"/>
        <v>0</v>
      </c>
      <c r="M36" s="1">
        <f t="shared" si="12"/>
        <v>0</v>
      </c>
      <c r="N36" s="1">
        <f t="shared" si="12"/>
        <v>0</v>
      </c>
      <c r="O36" s="1">
        <f t="shared" si="12"/>
        <v>0</v>
      </c>
      <c r="P36" s="1">
        <f t="shared" si="12"/>
        <v>0</v>
      </c>
      <c r="Q36" s="1">
        <f t="shared" si="12"/>
        <v>0</v>
      </c>
      <c r="R36" s="1">
        <f t="shared" si="12"/>
        <v>0</v>
      </c>
      <c r="S36" s="1">
        <f t="shared" si="12"/>
        <v>0</v>
      </c>
      <c r="T36" s="1">
        <f t="shared" si="12"/>
        <v>0</v>
      </c>
      <c r="U36" s="1"/>
      <c r="V36" s="1">
        <f t="shared" si="12"/>
        <v>0</v>
      </c>
      <c r="W36" s="1">
        <f t="shared" si="12"/>
        <v>0</v>
      </c>
      <c r="X36" s="1">
        <f t="shared" si="12"/>
        <v>0</v>
      </c>
      <c r="Y36" s="1">
        <f t="shared" si="12"/>
        <v>0</v>
      </c>
      <c r="Z36" s="1">
        <f t="shared" si="12"/>
        <v>0</v>
      </c>
      <c r="AA36" s="1">
        <f t="shared" si="12"/>
        <v>0</v>
      </c>
      <c r="AB36" s="1">
        <f t="shared" si="12"/>
        <v>0</v>
      </c>
      <c r="AC36" s="1">
        <f t="shared" si="12"/>
        <v>0</v>
      </c>
      <c r="AD36" s="1">
        <f t="shared" si="12"/>
        <v>0</v>
      </c>
      <c r="AE36" s="1"/>
      <c r="AF36" s="1">
        <f t="shared" si="12"/>
        <v>0</v>
      </c>
      <c r="AG36" s="1">
        <f t="shared" si="12"/>
        <v>0</v>
      </c>
      <c r="AH36" s="1">
        <f t="shared" si="12"/>
        <v>0</v>
      </c>
      <c r="AI36" s="1">
        <f t="shared" si="12"/>
        <v>0</v>
      </c>
      <c r="AJ36" s="1">
        <f t="shared" si="12"/>
        <v>0</v>
      </c>
      <c r="AK36" s="1">
        <f t="shared" si="12"/>
        <v>0</v>
      </c>
      <c r="AL36" s="1">
        <f t="shared" si="12"/>
        <v>0</v>
      </c>
      <c r="AM36" s="1">
        <f t="shared" si="12"/>
        <v>0</v>
      </c>
      <c r="AN36" s="1">
        <f>SUM(E36:AM36)</f>
        <v>0</v>
      </c>
    </row>
    <row r="37" spans="1:41" hidden="1">
      <c r="A37" t="s">
        <v>250</v>
      </c>
      <c r="E37" s="1">
        <f>E36*E32</f>
        <v>0</v>
      </c>
      <c r="F37" s="1">
        <f t="shared" ref="F37:AM37" si="13">F36*F32</f>
        <v>0</v>
      </c>
      <c r="G37" s="1">
        <f t="shared" si="13"/>
        <v>0</v>
      </c>
      <c r="H37" s="1">
        <f t="shared" si="13"/>
        <v>0</v>
      </c>
      <c r="I37" s="1">
        <f t="shared" si="13"/>
        <v>0</v>
      </c>
      <c r="J37" s="1">
        <f t="shared" si="13"/>
        <v>0</v>
      </c>
      <c r="K37" s="1"/>
      <c r="L37" s="1">
        <f t="shared" si="13"/>
        <v>0</v>
      </c>
      <c r="M37" s="1">
        <f t="shared" si="13"/>
        <v>0</v>
      </c>
      <c r="N37" s="1">
        <f t="shared" si="13"/>
        <v>0</v>
      </c>
      <c r="O37" s="1">
        <f t="shared" si="13"/>
        <v>0</v>
      </c>
      <c r="P37" s="1">
        <f t="shared" si="13"/>
        <v>0</v>
      </c>
      <c r="Q37" s="1">
        <f t="shared" si="13"/>
        <v>0</v>
      </c>
      <c r="R37" s="1">
        <f t="shared" si="13"/>
        <v>0</v>
      </c>
      <c r="S37" s="1">
        <f t="shared" si="13"/>
        <v>0</v>
      </c>
      <c r="T37" s="1">
        <f t="shared" si="13"/>
        <v>0</v>
      </c>
      <c r="U37" s="1"/>
      <c r="V37" s="1">
        <f t="shared" si="13"/>
        <v>0</v>
      </c>
      <c r="W37" s="1">
        <f t="shared" si="13"/>
        <v>0</v>
      </c>
      <c r="X37" s="1">
        <f t="shared" si="13"/>
        <v>0</v>
      </c>
      <c r="Y37" s="1">
        <f t="shared" si="13"/>
        <v>0</v>
      </c>
      <c r="Z37" s="1">
        <f t="shared" si="13"/>
        <v>0</v>
      </c>
      <c r="AA37" s="1">
        <f t="shared" si="13"/>
        <v>0</v>
      </c>
      <c r="AB37" s="1">
        <f t="shared" si="13"/>
        <v>0</v>
      </c>
      <c r="AC37" s="1">
        <f t="shared" si="13"/>
        <v>0</v>
      </c>
      <c r="AD37" s="1">
        <f t="shared" si="13"/>
        <v>0</v>
      </c>
      <c r="AE37" s="1"/>
      <c r="AF37" s="1">
        <f t="shared" si="13"/>
        <v>0</v>
      </c>
      <c r="AG37" s="1">
        <f t="shared" si="13"/>
        <v>0</v>
      </c>
      <c r="AH37" s="1">
        <f t="shared" si="13"/>
        <v>0</v>
      </c>
      <c r="AI37" s="1">
        <f t="shared" si="13"/>
        <v>0</v>
      </c>
      <c r="AJ37" s="1">
        <f t="shared" si="13"/>
        <v>0</v>
      </c>
      <c r="AK37" s="1">
        <f t="shared" si="13"/>
        <v>0</v>
      </c>
      <c r="AL37" s="1">
        <f t="shared" si="13"/>
        <v>0</v>
      </c>
      <c r="AM37" s="1">
        <f t="shared" si="13"/>
        <v>0</v>
      </c>
      <c r="AN37" s="1">
        <f t="shared" ref="AN37:AN40" si="14">SUM(E37:AM37)</f>
        <v>0</v>
      </c>
    </row>
    <row r="38" spans="1:41" hidden="1">
      <c r="AN38" s="1"/>
    </row>
    <row r="39" spans="1:41" hidden="1">
      <c r="A39" t="s">
        <v>253</v>
      </c>
      <c r="E39" s="1">
        <f>E31*24</f>
        <v>0</v>
      </c>
      <c r="F39" s="1">
        <f t="shared" ref="F39:AM39" si="15">F31*24</f>
        <v>0</v>
      </c>
      <c r="G39" s="1">
        <f t="shared" si="15"/>
        <v>0</v>
      </c>
      <c r="H39" s="1">
        <f t="shared" si="15"/>
        <v>0</v>
      </c>
      <c r="I39" s="1">
        <f t="shared" si="15"/>
        <v>0</v>
      </c>
      <c r="J39" s="1">
        <f t="shared" si="15"/>
        <v>0</v>
      </c>
      <c r="K39" s="1"/>
      <c r="L39" s="1">
        <f t="shared" si="15"/>
        <v>0</v>
      </c>
      <c r="M39" s="1">
        <f t="shared" si="15"/>
        <v>0</v>
      </c>
      <c r="N39" s="1">
        <f t="shared" si="15"/>
        <v>0</v>
      </c>
      <c r="O39" s="1">
        <f t="shared" si="15"/>
        <v>0</v>
      </c>
      <c r="P39" s="1">
        <f t="shared" si="15"/>
        <v>0</v>
      </c>
      <c r="Q39" s="1">
        <f t="shared" si="15"/>
        <v>0</v>
      </c>
      <c r="R39" s="1">
        <f t="shared" si="15"/>
        <v>0</v>
      </c>
      <c r="S39" s="1">
        <f t="shared" si="15"/>
        <v>0</v>
      </c>
      <c r="T39" s="1">
        <f t="shared" si="15"/>
        <v>0</v>
      </c>
      <c r="U39" s="1"/>
      <c r="V39" s="1">
        <f t="shared" si="15"/>
        <v>0</v>
      </c>
      <c r="W39" s="1">
        <f t="shared" si="15"/>
        <v>0</v>
      </c>
      <c r="X39" s="1">
        <f t="shared" si="15"/>
        <v>0</v>
      </c>
      <c r="Y39" s="1">
        <f t="shared" si="15"/>
        <v>0</v>
      </c>
      <c r="Z39" s="1">
        <f t="shared" si="15"/>
        <v>0</v>
      </c>
      <c r="AA39" s="1">
        <f t="shared" si="15"/>
        <v>0</v>
      </c>
      <c r="AB39" s="1">
        <f t="shared" si="15"/>
        <v>0</v>
      </c>
      <c r="AC39" s="1">
        <f t="shared" si="15"/>
        <v>0</v>
      </c>
      <c r="AD39" s="1">
        <f t="shared" si="15"/>
        <v>0</v>
      </c>
      <c r="AE39" s="1"/>
      <c r="AF39" s="1">
        <f t="shared" si="15"/>
        <v>0</v>
      </c>
      <c r="AG39" s="1">
        <f t="shared" si="15"/>
        <v>0</v>
      </c>
      <c r="AH39" s="1">
        <f t="shared" si="15"/>
        <v>0</v>
      </c>
      <c r="AI39" s="1">
        <f t="shared" si="15"/>
        <v>0</v>
      </c>
      <c r="AJ39" s="1">
        <f t="shared" si="15"/>
        <v>0</v>
      </c>
      <c r="AK39" s="1">
        <f t="shared" si="15"/>
        <v>0</v>
      </c>
      <c r="AL39" s="1">
        <f t="shared" si="15"/>
        <v>0</v>
      </c>
      <c r="AM39" s="1">
        <f t="shared" si="15"/>
        <v>0</v>
      </c>
      <c r="AN39" s="1">
        <f t="shared" si="14"/>
        <v>0</v>
      </c>
    </row>
    <row r="40" spans="1:41" hidden="1">
      <c r="E40" s="1">
        <f>E39*E32</f>
        <v>0</v>
      </c>
      <c r="F40" s="1">
        <f t="shared" ref="F40:AM40" si="16">F39*F32</f>
        <v>0</v>
      </c>
      <c r="G40" s="1">
        <f t="shared" si="16"/>
        <v>0</v>
      </c>
      <c r="H40" s="1">
        <f t="shared" si="16"/>
        <v>0</v>
      </c>
      <c r="I40" s="1">
        <f t="shared" si="16"/>
        <v>0</v>
      </c>
      <c r="J40" s="1">
        <f t="shared" si="16"/>
        <v>0</v>
      </c>
      <c r="K40" s="1"/>
      <c r="L40" s="1">
        <f t="shared" si="16"/>
        <v>0</v>
      </c>
      <c r="M40" s="1">
        <f t="shared" si="16"/>
        <v>0</v>
      </c>
      <c r="N40" s="1">
        <f t="shared" si="16"/>
        <v>0</v>
      </c>
      <c r="O40" s="1">
        <f t="shared" si="16"/>
        <v>0</v>
      </c>
      <c r="P40" s="1">
        <f t="shared" si="16"/>
        <v>0</v>
      </c>
      <c r="Q40" s="1">
        <f t="shared" si="16"/>
        <v>0</v>
      </c>
      <c r="R40" s="1">
        <f t="shared" si="16"/>
        <v>0</v>
      </c>
      <c r="S40" s="1">
        <f t="shared" si="16"/>
        <v>0</v>
      </c>
      <c r="T40" s="1">
        <f t="shared" si="16"/>
        <v>0</v>
      </c>
      <c r="U40" s="1"/>
      <c r="V40" s="1">
        <f t="shared" si="16"/>
        <v>0</v>
      </c>
      <c r="W40" s="1">
        <f t="shared" si="16"/>
        <v>0</v>
      </c>
      <c r="X40" s="1">
        <f t="shared" si="16"/>
        <v>0</v>
      </c>
      <c r="Y40" s="1">
        <f t="shared" si="16"/>
        <v>0</v>
      </c>
      <c r="Z40" s="1">
        <f t="shared" si="16"/>
        <v>0</v>
      </c>
      <c r="AA40" s="1">
        <f t="shared" si="16"/>
        <v>0</v>
      </c>
      <c r="AB40" s="1">
        <f t="shared" si="16"/>
        <v>0</v>
      </c>
      <c r="AC40" s="1">
        <f t="shared" si="16"/>
        <v>0</v>
      </c>
      <c r="AD40" s="1">
        <f t="shared" si="16"/>
        <v>0</v>
      </c>
      <c r="AE40" s="1"/>
      <c r="AF40" s="1">
        <f t="shared" si="16"/>
        <v>0</v>
      </c>
      <c r="AG40" s="1">
        <f t="shared" si="16"/>
        <v>0</v>
      </c>
      <c r="AH40" s="1">
        <f t="shared" si="16"/>
        <v>0</v>
      </c>
      <c r="AI40" s="1">
        <f t="shared" si="16"/>
        <v>0</v>
      </c>
      <c r="AJ40" s="1">
        <f t="shared" si="16"/>
        <v>0</v>
      </c>
      <c r="AK40" s="1">
        <f t="shared" si="16"/>
        <v>0</v>
      </c>
      <c r="AL40" s="1">
        <f t="shared" si="16"/>
        <v>0</v>
      </c>
      <c r="AM40" s="1">
        <f t="shared" si="16"/>
        <v>0</v>
      </c>
      <c r="AN40" s="1">
        <f t="shared" si="14"/>
        <v>0</v>
      </c>
    </row>
    <row r="41" spans="1:41" hidden="1">
      <c r="A41" t="s">
        <v>257</v>
      </c>
      <c r="AN41" s="1">
        <f>August!CB41+August!CC41+September!CB39+September!CC39+Oktober!CB40+Oktober!CC40+November!CB39+November!CC39+December!CB40+December!CC40+Januar!CB40+Januar!CC40+Februar!CB38+Februar!CC38+Marts!CB40+Marts!CC40+April!CB39+April!CC39+Maj!CB40+Maj!CC40+Juni!CB39+Juni!CC39+Juli!CB40+Juli!CC40</f>
        <v>0</v>
      </c>
      <c r="AO41" t="s">
        <v>320</v>
      </c>
    </row>
    <row r="42" spans="1:41" ht="17" thickBot="1">
      <c r="AN42" s="1"/>
    </row>
    <row r="43" spans="1:41" ht="45" customHeight="1">
      <c r="A43" s="779" t="s">
        <v>607</v>
      </c>
      <c r="B43" s="780"/>
      <c r="C43" s="780"/>
      <c r="D43" s="780"/>
      <c r="E43" s="780"/>
      <c r="F43" s="780"/>
      <c r="G43" s="780"/>
      <c r="H43" s="780"/>
      <c r="I43" s="781"/>
      <c r="J43" s="4"/>
      <c r="K43" s="395" t="s">
        <v>237</v>
      </c>
      <c r="L43" s="396" t="s">
        <v>239</v>
      </c>
      <c r="M43" s="395" t="s">
        <v>240</v>
      </c>
      <c r="N43" s="396" t="s">
        <v>241</v>
      </c>
      <c r="O43" s="395" t="s">
        <v>285</v>
      </c>
      <c r="P43" s="396" t="s">
        <v>286</v>
      </c>
      <c r="Q43" s="395" t="s">
        <v>287</v>
      </c>
      <c r="R43" s="396" t="s">
        <v>288</v>
      </c>
      <c r="S43" s="395" t="s">
        <v>289</v>
      </c>
      <c r="T43" s="396" t="s">
        <v>290</v>
      </c>
      <c r="U43" s="395" t="s">
        <v>291</v>
      </c>
      <c r="V43" s="396" t="s">
        <v>292</v>
      </c>
    </row>
    <row r="44" spans="1:41" ht="42" customHeight="1" thickBot="1">
      <c r="A44" s="790" t="s">
        <v>606</v>
      </c>
      <c r="B44" s="791"/>
      <c r="C44" s="791"/>
      <c r="D44" s="791"/>
      <c r="E44" s="791"/>
      <c r="F44" s="791"/>
      <c r="G44" s="791"/>
      <c r="H44" s="791"/>
      <c r="I44" s="792"/>
      <c r="J44" s="4"/>
      <c r="K44" s="395"/>
      <c r="L44" s="396"/>
      <c r="M44" s="395"/>
      <c r="N44" s="396"/>
      <c r="O44" s="395"/>
      <c r="P44" s="396"/>
      <c r="Q44" s="395"/>
      <c r="R44" s="396"/>
      <c r="S44" s="395"/>
      <c r="T44" s="396"/>
      <c r="U44" s="395"/>
      <c r="V44" s="396"/>
    </row>
    <row r="45" spans="1:41" ht="44" customHeight="1">
      <c r="A45" s="782" t="s">
        <v>608</v>
      </c>
      <c r="B45" s="783"/>
      <c r="C45" s="783"/>
      <c r="D45" s="783"/>
      <c r="E45" s="783"/>
      <c r="F45" s="784"/>
      <c r="G45" s="763" t="s">
        <v>236</v>
      </c>
      <c r="H45" s="763"/>
      <c r="I45" s="669" t="s">
        <v>238</v>
      </c>
      <c r="J45" s="4"/>
      <c r="K45" s="395"/>
      <c r="L45" s="396"/>
      <c r="M45" s="395"/>
      <c r="N45" s="396"/>
      <c r="O45" s="395"/>
      <c r="P45" s="396"/>
      <c r="Q45" s="395"/>
      <c r="R45" s="396"/>
      <c r="S45" s="395"/>
      <c r="T45" s="396"/>
      <c r="U45" s="395"/>
      <c r="V45" s="396"/>
    </row>
    <row r="46" spans="1:41" ht="16" customHeight="1">
      <c r="A46" s="760"/>
      <c r="B46" s="761"/>
      <c r="C46" s="761"/>
      <c r="D46" s="761"/>
      <c r="E46" s="761"/>
      <c r="F46" s="759"/>
      <c r="G46" s="758"/>
      <c r="H46" s="759"/>
      <c r="I46" s="393"/>
      <c r="J46" s="4"/>
      <c r="K46" s="395">
        <f t="shared" ref="K46" si="17">IF(G46="August",I46,0)</f>
        <v>0</v>
      </c>
      <c r="L46" s="395">
        <f t="shared" ref="L46" si="18">IF(G46="September",I46,0)</f>
        <v>0</v>
      </c>
      <c r="M46" s="395">
        <f t="shared" ref="M46" si="19">IF(G46="Oktober",I46,0)</f>
        <v>0</v>
      </c>
      <c r="N46" s="395">
        <f t="shared" ref="N46" si="20">IF(G46="November",I46,0)</f>
        <v>0</v>
      </c>
      <c r="O46" s="395">
        <f t="shared" ref="O46" si="21">IF(G46="December",I46,0)</f>
        <v>0</v>
      </c>
      <c r="P46" s="395">
        <f t="shared" ref="P46" si="22">IF(G46="Januar",I46,0)</f>
        <v>0</v>
      </c>
      <c r="Q46" s="395">
        <f t="shared" ref="Q46" si="23">IF(G46="Februar",I46,0)</f>
        <v>0</v>
      </c>
      <c r="R46" s="395">
        <f t="shared" ref="R46" si="24">IF(G46="Marts",I46,0)</f>
        <v>0</v>
      </c>
      <c r="S46" s="395">
        <f t="shared" ref="S46" si="25">IF(G46="April",I46,0)</f>
        <v>0</v>
      </c>
      <c r="T46" s="395">
        <f t="shared" ref="T46" si="26">IF(G46="Maj",I46,0)</f>
        <v>0</v>
      </c>
      <c r="U46" s="395">
        <f t="shared" ref="U46" si="27">IF(G46="Juni",I46,0)</f>
        <v>0</v>
      </c>
      <c r="V46" s="395">
        <f t="shared" ref="V46" si="28">IF(G46="Juli",I46,0)</f>
        <v>0</v>
      </c>
    </row>
    <row r="47" spans="1:41">
      <c r="A47" s="760"/>
      <c r="B47" s="761"/>
      <c r="C47" s="761"/>
      <c r="D47" s="761"/>
      <c r="E47" s="761"/>
      <c r="F47" s="759"/>
      <c r="G47" s="758"/>
      <c r="H47" s="759"/>
      <c r="I47" s="393"/>
      <c r="J47" s="4"/>
      <c r="K47" s="395">
        <f t="shared" ref="K47:K90" si="29">IF(G47="August",I47,0)</f>
        <v>0</v>
      </c>
      <c r="L47" s="395">
        <f t="shared" ref="L47:L90" si="30">IF(G47="September",I47,0)</f>
        <v>0</v>
      </c>
      <c r="M47" s="395">
        <f t="shared" ref="M47:M90" si="31">IF(G47="Oktober",I47,0)</f>
        <v>0</v>
      </c>
      <c r="N47" s="395">
        <f t="shared" ref="N47:N90" si="32">IF(G47="November",I47,0)</f>
        <v>0</v>
      </c>
      <c r="O47" s="395">
        <f t="shared" ref="O47:O90" si="33">IF(G47="December",I47,0)</f>
        <v>0</v>
      </c>
      <c r="P47" s="395">
        <f t="shared" ref="P47:P90" si="34">IF(G47="Januar",I47,0)</f>
        <v>0</v>
      </c>
      <c r="Q47" s="395">
        <f t="shared" ref="Q47:Q90" si="35">IF(G47="Februar",I47,0)</f>
        <v>0</v>
      </c>
      <c r="R47" s="395">
        <f t="shared" ref="R47:R90" si="36">IF(G47="Marts",I47,0)</f>
        <v>0</v>
      </c>
      <c r="S47" s="395">
        <f t="shared" ref="S47:S90" si="37">IF(G47="April",I47,0)</f>
        <v>0</v>
      </c>
      <c r="T47" s="395">
        <f t="shared" ref="T47:T90" si="38">IF(G47="Maj",I47,0)</f>
        <v>0</v>
      </c>
      <c r="U47" s="395">
        <f t="shared" ref="U47:U90" si="39">IF(G47="Juni",I47,0)</f>
        <v>0</v>
      </c>
      <c r="V47" s="395">
        <f t="shared" ref="V47:V90" si="40">IF(G47="Juli",I47,0)</f>
        <v>0</v>
      </c>
    </row>
    <row r="48" spans="1:41">
      <c r="A48" s="760"/>
      <c r="B48" s="761"/>
      <c r="C48" s="761"/>
      <c r="D48" s="761"/>
      <c r="E48" s="761"/>
      <c r="F48" s="759"/>
      <c r="G48" s="758"/>
      <c r="H48" s="759"/>
      <c r="I48" s="393"/>
      <c r="J48" s="4"/>
      <c r="K48" s="395">
        <f t="shared" si="29"/>
        <v>0</v>
      </c>
      <c r="L48" s="395">
        <f t="shared" si="30"/>
        <v>0</v>
      </c>
      <c r="M48" s="395">
        <f t="shared" si="31"/>
        <v>0</v>
      </c>
      <c r="N48" s="395">
        <f t="shared" si="32"/>
        <v>0</v>
      </c>
      <c r="O48" s="395">
        <f t="shared" si="33"/>
        <v>0</v>
      </c>
      <c r="P48" s="395">
        <f t="shared" si="34"/>
        <v>0</v>
      </c>
      <c r="Q48" s="395">
        <f t="shared" si="35"/>
        <v>0</v>
      </c>
      <c r="R48" s="395">
        <f t="shared" si="36"/>
        <v>0</v>
      </c>
      <c r="S48" s="395">
        <f t="shared" si="37"/>
        <v>0</v>
      </c>
      <c r="T48" s="395">
        <f t="shared" si="38"/>
        <v>0</v>
      </c>
      <c r="U48" s="395">
        <f t="shared" si="39"/>
        <v>0</v>
      </c>
      <c r="V48" s="395">
        <f t="shared" si="40"/>
        <v>0</v>
      </c>
    </row>
    <row r="49" spans="1:22">
      <c r="A49" s="760"/>
      <c r="B49" s="761"/>
      <c r="C49" s="761"/>
      <c r="D49" s="761"/>
      <c r="E49" s="761"/>
      <c r="F49" s="759"/>
      <c r="G49" s="758"/>
      <c r="H49" s="759"/>
      <c r="I49" s="393"/>
      <c r="J49" s="4"/>
      <c r="K49" s="395">
        <f t="shared" si="29"/>
        <v>0</v>
      </c>
      <c r="L49" s="395">
        <f t="shared" si="30"/>
        <v>0</v>
      </c>
      <c r="M49" s="395">
        <f t="shared" si="31"/>
        <v>0</v>
      </c>
      <c r="N49" s="395">
        <f t="shared" si="32"/>
        <v>0</v>
      </c>
      <c r="O49" s="395">
        <f t="shared" si="33"/>
        <v>0</v>
      </c>
      <c r="P49" s="395">
        <f t="shared" si="34"/>
        <v>0</v>
      </c>
      <c r="Q49" s="395">
        <f t="shared" si="35"/>
        <v>0</v>
      </c>
      <c r="R49" s="395">
        <f t="shared" si="36"/>
        <v>0</v>
      </c>
      <c r="S49" s="395">
        <f t="shared" si="37"/>
        <v>0</v>
      </c>
      <c r="T49" s="395">
        <f t="shared" si="38"/>
        <v>0</v>
      </c>
      <c r="U49" s="395">
        <f t="shared" si="39"/>
        <v>0</v>
      </c>
      <c r="V49" s="395">
        <f t="shared" si="40"/>
        <v>0</v>
      </c>
    </row>
    <row r="50" spans="1:22">
      <c r="A50" s="760"/>
      <c r="B50" s="761"/>
      <c r="C50" s="761"/>
      <c r="D50" s="761"/>
      <c r="E50" s="761"/>
      <c r="F50" s="759"/>
      <c r="G50" s="758"/>
      <c r="H50" s="759"/>
      <c r="I50" s="393"/>
      <c r="J50" s="4"/>
      <c r="K50" s="395">
        <f t="shared" si="29"/>
        <v>0</v>
      </c>
      <c r="L50" s="395">
        <f t="shared" si="30"/>
        <v>0</v>
      </c>
      <c r="M50" s="395">
        <f t="shared" si="31"/>
        <v>0</v>
      </c>
      <c r="N50" s="395">
        <f t="shared" si="32"/>
        <v>0</v>
      </c>
      <c r="O50" s="395">
        <f t="shared" si="33"/>
        <v>0</v>
      </c>
      <c r="P50" s="395">
        <f t="shared" si="34"/>
        <v>0</v>
      </c>
      <c r="Q50" s="395">
        <f t="shared" si="35"/>
        <v>0</v>
      </c>
      <c r="R50" s="395">
        <f t="shared" si="36"/>
        <v>0</v>
      </c>
      <c r="S50" s="395">
        <f t="shared" si="37"/>
        <v>0</v>
      </c>
      <c r="T50" s="395">
        <f t="shared" si="38"/>
        <v>0</v>
      </c>
      <c r="U50" s="395">
        <f t="shared" si="39"/>
        <v>0</v>
      </c>
      <c r="V50" s="395">
        <f t="shared" si="40"/>
        <v>0</v>
      </c>
    </row>
    <row r="51" spans="1:22">
      <c r="A51" s="760"/>
      <c r="B51" s="761"/>
      <c r="C51" s="761"/>
      <c r="D51" s="761"/>
      <c r="E51" s="761"/>
      <c r="F51" s="759"/>
      <c r="G51" s="758"/>
      <c r="H51" s="759"/>
      <c r="I51" s="393"/>
      <c r="J51" s="4"/>
      <c r="K51" s="395">
        <f t="shared" si="29"/>
        <v>0</v>
      </c>
      <c r="L51" s="395">
        <f t="shared" si="30"/>
        <v>0</v>
      </c>
      <c r="M51" s="395">
        <f t="shared" si="31"/>
        <v>0</v>
      </c>
      <c r="N51" s="395">
        <f t="shared" si="32"/>
        <v>0</v>
      </c>
      <c r="O51" s="395">
        <f t="shared" si="33"/>
        <v>0</v>
      </c>
      <c r="P51" s="395">
        <f t="shared" si="34"/>
        <v>0</v>
      </c>
      <c r="Q51" s="395">
        <f t="shared" si="35"/>
        <v>0</v>
      </c>
      <c r="R51" s="395">
        <f t="shared" si="36"/>
        <v>0</v>
      </c>
      <c r="S51" s="395">
        <f t="shared" si="37"/>
        <v>0</v>
      </c>
      <c r="T51" s="395">
        <f t="shared" si="38"/>
        <v>0</v>
      </c>
      <c r="U51" s="395">
        <f t="shared" si="39"/>
        <v>0</v>
      </c>
      <c r="V51" s="395">
        <f t="shared" si="40"/>
        <v>0</v>
      </c>
    </row>
    <row r="52" spans="1:22">
      <c r="A52" s="760"/>
      <c r="B52" s="761"/>
      <c r="C52" s="761"/>
      <c r="D52" s="761"/>
      <c r="E52" s="761"/>
      <c r="F52" s="759"/>
      <c r="G52" s="758"/>
      <c r="H52" s="759"/>
      <c r="I52" s="393"/>
      <c r="J52" s="4"/>
      <c r="K52" s="395">
        <f t="shared" si="29"/>
        <v>0</v>
      </c>
      <c r="L52" s="395">
        <f t="shared" si="30"/>
        <v>0</v>
      </c>
      <c r="M52" s="395">
        <f t="shared" si="31"/>
        <v>0</v>
      </c>
      <c r="N52" s="395">
        <f t="shared" si="32"/>
        <v>0</v>
      </c>
      <c r="O52" s="395">
        <f t="shared" si="33"/>
        <v>0</v>
      </c>
      <c r="P52" s="395">
        <f t="shared" si="34"/>
        <v>0</v>
      </c>
      <c r="Q52" s="395">
        <f t="shared" si="35"/>
        <v>0</v>
      </c>
      <c r="R52" s="395">
        <f t="shared" si="36"/>
        <v>0</v>
      </c>
      <c r="S52" s="395">
        <f t="shared" si="37"/>
        <v>0</v>
      </c>
      <c r="T52" s="395">
        <f t="shared" si="38"/>
        <v>0</v>
      </c>
      <c r="U52" s="395">
        <f t="shared" si="39"/>
        <v>0</v>
      </c>
      <c r="V52" s="395">
        <f t="shared" si="40"/>
        <v>0</v>
      </c>
    </row>
    <row r="53" spans="1:22">
      <c r="A53" s="760"/>
      <c r="B53" s="761"/>
      <c r="C53" s="761"/>
      <c r="D53" s="761"/>
      <c r="E53" s="761"/>
      <c r="F53" s="759"/>
      <c r="G53" s="758"/>
      <c r="H53" s="759"/>
      <c r="I53" s="393"/>
      <c r="J53" s="4"/>
      <c r="K53" s="395">
        <f t="shared" si="29"/>
        <v>0</v>
      </c>
      <c r="L53" s="395">
        <f t="shared" si="30"/>
        <v>0</v>
      </c>
      <c r="M53" s="395">
        <f t="shared" si="31"/>
        <v>0</v>
      </c>
      <c r="N53" s="395">
        <f t="shared" si="32"/>
        <v>0</v>
      </c>
      <c r="O53" s="395">
        <f t="shared" si="33"/>
        <v>0</v>
      </c>
      <c r="P53" s="395">
        <f t="shared" si="34"/>
        <v>0</v>
      </c>
      <c r="Q53" s="395">
        <f t="shared" si="35"/>
        <v>0</v>
      </c>
      <c r="R53" s="395">
        <f t="shared" si="36"/>
        <v>0</v>
      </c>
      <c r="S53" s="395">
        <f t="shared" si="37"/>
        <v>0</v>
      </c>
      <c r="T53" s="395">
        <f t="shared" si="38"/>
        <v>0</v>
      </c>
      <c r="U53" s="395">
        <f t="shared" si="39"/>
        <v>0</v>
      </c>
      <c r="V53" s="395">
        <f t="shared" si="40"/>
        <v>0</v>
      </c>
    </row>
    <row r="54" spans="1:22">
      <c r="A54" s="760"/>
      <c r="B54" s="761"/>
      <c r="C54" s="761"/>
      <c r="D54" s="761"/>
      <c r="E54" s="761"/>
      <c r="F54" s="759"/>
      <c r="G54" s="758"/>
      <c r="H54" s="759"/>
      <c r="I54" s="393"/>
      <c r="J54" s="4"/>
      <c r="K54" s="395">
        <f t="shared" si="29"/>
        <v>0</v>
      </c>
      <c r="L54" s="395">
        <f t="shared" si="30"/>
        <v>0</v>
      </c>
      <c r="M54" s="395">
        <f t="shared" si="31"/>
        <v>0</v>
      </c>
      <c r="N54" s="395">
        <f t="shared" si="32"/>
        <v>0</v>
      </c>
      <c r="O54" s="395">
        <f t="shared" si="33"/>
        <v>0</v>
      </c>
      <c r="P54" s="395">
        <f t="shared" si="34"/>
        <v>0</v>
      </c>
      <c r="Q54" s="395">
        <f t="shared" si="35"/>
        <v>0</v>
      </c>
      <c r="R54" s="395">
        <f t="shared" si="36"/>
        <v>0</v>
      </c>
      <c r="S54" s="395">
        <f t="shared" si="37"/>
        <v>0</v>
      </c>
      <c r="T54" s="395">
        <f t="shared" si="38"/>
        <v>0</v>
      </c>
      <c r="U54" s="395">
        <f t="shared" si="39"/>
        <v>0</v>
      </c>
      <c r="V54" s="395">
        <f t="shared" si="40"/>
        <v>0</v>
      </c>
    </row>
    <row r="55" spans="1:22">
      <c r="A55" s="760"/>
      <c r="B55" s="761"/>
      <c r="C55" s="761"/>
      <c r="D55" s="761"/>
      <c r="E55" s="761"/>
      <c r="F55" s="759"/>
      <c r="G55" s="758"/>
      <c r="H55" s="759"/>
      <c r="I55" s="393"/>
      <c r="J55" s="4"/>
      <c r="K55" s="395">
        <f t="shared" si="29"/>
        <v>0</v>
      </c>
      <c r="L55" s="395">
        <f t="shared" si="30"/>
        <v>0</v>
      </c>
      <c r="M55" s="395">
        <f t="shared" si="31"/>
        <v>0</v>
      </c>
      <c r="N55" s="395">
        <f t="shared" si="32"/>
        <v>0</v>
      </c>
      <c r="O55" s="395">
        <f t="shared" si="33"/>
        <v>0</v>
      </c>
      <c r="P55" s="395">
        <f t="shared" si="34"/>
        <v>0</v>
      </c>
      <c r="Q55" s="395">
        <f t="shared" si="35"/>
        <v>0</v>
      </c>
      <c r="R55" s="395">
        <f t="shared" si="36"/>
        <v>0</v>
      </c>
      <c r="S55" s="395">
        <f t="shared" si="37"/>
        <v>0</v>
      </c>
      <c r="T55" s="395">
        <f t="shared" si="38"/>
        <v>0</v>
      </c>
      <c r="U55" s="395">
        <f t="shared" si="39"/>
        <v>0</v>
      </c>
      <c r="V55" s="395">
        <f t="shared" si="40"/>
        <v>0</v>
      </c>
    </row>
    <row r="56" spans="1:22">
      <c r="A56" s="760"/>
      <c r="B56" s="761"/>
      <c r="C56" s="761"/>
      <c r="D56" s="761"/>
      <c r="E56" s="761"/>
      <c r="F56" s="759"/>
      <c r="G56" s="758"/>
      <c r="H56" s="759"/>
      <c r="I56" s="393"/>
      <c r="J56" s="4"/>
      <c r="K56" s="395">
        <f t="shared" si="29"/>
        <v>0</v>
      </c>
      <c r="L56" s="395">
        <f t="shared" si="30"/>
        <v>0</v>
      </c>
      <c r="M56" s="395">
        <f t="shared" si="31"/>
        <v>0</v>
      </c>
      <c r="N56" s="395">
        <f t="shared" si="32"/>
        <v>0</v>
      </c>
      <c r="O56" s="395">
        <f t="shared" si="33"/>
        <v>0</v>
      </c>
      <c r="P56" s="395">
        <f t="shared" si="34"/>
        <v>0</v>
      </c>
      <c r="Q56" s="395">
        <f t="shared" si="35"/>
        <v>0</v>
      </c>
      <c r="R56" s="395">
        <f t="shared" si="36"/>
        <v>0</v>
      </c>
      <c r="S56" s="395">
        <f t="shared" si="37"/>
        <v>0</v>
      </c>
      <c r="T56" s="395">
        <f t="shared" si="38"/>
        <v>0</v>
      </c>
      <c r="U56" s="395">
        <f t="shared" si="39"/>
        <v>0</v>
      </c>
      <c r="V56" s="395">
        <f t="shared" si="40"/>
        <v>0</v>
      </c>
    </row>
    <row r="57" spans="1:22">
      <c r="A57" s="760"/>
      <c r="B57" s="761"/>
      <c r="C57" s="761"/>
      <c r="D57" s="761"/>
      <c r="E57" s="761"/>
      <c r="F57" s="759"/>
      <c r="G57" s="758"/>
      <c r="H57" s="759"/>
      <c r="I57" s="393"/>
      <c r="J57" s="4"/>
      <c r="K57" s="395">
        <f t="shared" si="29"/>
        <v>0</v>
      </c>
      <c r="L57" s="395">
        <f t="shared" si="30"/>
        <v>0</v>
      </c>
      <c r="M57" s="395">
        <f t="shared" si="31"/>
        <v>0</v>
      </c>
      <c r="N57" s="395">
        <f t="shared" si="32"/>
        <v>0</v>
      </c>
      <c r="O57" s="395">
        <f t="shared" si="33"/>
        <v>0</v>
      </c>
      <c r="P57" s="395">
        <f t="shared" si="34"/>
        <v>0</v>
      </c>
      <c r="Q57" s="395">
        <f t="shared" si="35"/>
        <v>0</v>
      </c>
      <c r="R57" s="395">
        <f t="shared" si="36"/>
        <v>0</v>
      </c>
      <c r="S57" s="395">
        <f t="shared" si="37"/>
        <v>0</v>
      </c>
      <c r="T57" s="395">
        <f t="shared" si="38"/>
        <v>0</v>
      </c>
      <c r="U57" s="395">
        <f t="shared" si="39"/>
        <v>0</v>
      </c>
      <c r="V57" s="395">
        <f t="shared" si="40"/>
        <v>0</v>
      </c>
    </row>
    <row r="58" spans="1:22" ht="16" customHeight="1">
      <c r="A58" s="760"/>
      <c r="B58" s="761"/>
      <c r="C58" s="761"/>
      <c r="D58" s="761"/>
      <c r="E58" s="761"/>
      <c r="F58" s="759"/>
      <c r="G58" s="758"/>
      <c r="H58" s="759"/>
      <c r="I58" s="393"/>
      <c r="J58" s="4"/>
      <c r="K58" s="395">
        <f t="shared" si="29"/>
        <v>0</v>
      </c>
      <c r="L58" s="395">
        <f t="shared" si="30"/>
        <v>0</v>
      </c>
      <c r="M58" s="395">
        <f t="shared" si="31"/>
        <v>0</v>
      </c>
      <c r="N58" s="395">
        <f t="shared" si="32"/>
        <v>0</v>
      </c>
      <c r="O58" s="395">
        <f t="shared" si="33"/>
        <v>0</v>
      </c>
      <c r="P58" s="395">
        <f t="shared" si="34"/>
        <v>0</v>
      </c>
      <c r="Q58" s="395">
        <f t="shared" si="35"/>
        <v>0</v>
      </c>
      <c r="R58" s="395">
        <f t="shared" si="36"/>
        <v>0</v>
      </c>
      <c r="S58" s="395">
        <f t="shared" si="37"/>
        <v>0</v>
      </c>
      <c r="T58" s="395">
        <f t="shared" si="38"/>
        <v>0</v>
      </c>
      <c r="U58" s="395">
        <f t="shared" si="39"/>
        <v>0</v>
      </c>
      <c r="V58" s="395">
        <f t="shared" si="40"/>
        <v>0</v>
      </c>
    </row>
    <row r="59" spans="1:22">
      <c r="A59" s="760"/>
      <c r="B59" s="761"/>
      <c r="C59" s="761"/>
      <c r="D59" s="761"/>
      <c r="E59" s="761"/>
      <c r="F59" s="759"/>
      <c r="G59" s="758"/>
      <c r="H59" s="759"/>
      <c r="I59" s="393"/>
      <c r="J59" s="4"/>
      <c r="K59" s="395">
        <f t="shared" si="29"/>
        <v>0</v>
      </c>
      <c r="L59" s="395">
        <f t="shared" si="30"/>
        <v>0</v>
      </c>
      <c r="M59" s="395">
        <f t="shared" si="31"/>
        <v>0</v>
      </c>
      <c r="N59" s="395">
        <f t="shared" si="32"/>
        <v>0</v>
      </c>
      <c r="O59" s="395">
        <f t="shared" si="33"/>
        <v>0</v>
      </c>
      <c r="P59" s="395">
        <f t="shared" si="34"/>
        <v>0</v>
      </c>
      <c r="Q59" s="395">
        <f t="shared" si="35"/>
        <v>0</v>
      </c>
      <c r="R59" s="395">
        <f t="shared" si="36"/>
        <v>0</v>
      </c>
      <c r="S59" s="395">
        <f t="shared" si="37"/>
        <v>0</v>
      </c>
      <c r="T59" s="395">
        <f t="shared" si="38"/>
        <v>0</v>
      </c>
      <c r="U59" s="395">
        <f t="shared" si="39"/>
        <v>0</v>
      </c>
      <c r="V59" s="395">
        <f t="shared" si="40"/>
        <v>0</v>
      </c>
    </row>
    <row r="60" spans="1:22">
      <c r="A60" s="760"/>
      <c r="B60" s="761"/>
      <c r="C60" s="761"/>
      <c r="D60" s="761"/>
      <c r="E60" s="761"/>
      <c r="F60" s="759"/>
      <c r="G60" s="758"/>
      <c r="H60" s="759"/>
      <c r="I60" s="393"/>
      <c r="J60" s="4"/>
      <c r="K60" s="395">
        <f t="shared" si="29"/>
        <v>0</v>
      </c>
      <c r="L60" s="395">
        <f t="shared" si="30"/>
        <v>0</v>
      </c>
      <c r="M60" s="395">
        <f t="shared" si="31"/>
        <v>0</v>
      </c>
      <c r="N60" s="395">
        <f t="shared" si="32"/>
        <v>0</v>
      </c>
      <c r="O60" s="395">
        <f t="shared" si="33"/>
        <v>0</v>
      </c>
      <c r="P60" s="395">
        <f t="shared" si="34"/>
        <v>0</v>
      </c>
      <c r="Q60" s="395">
        <f t="shared" si="35"/>
        <v>0</v>
      </c>
      <c r="R60" s="395">
        <f t="shared" si="36"/>
        <v>0</v>
      </c>
      <c r="S60" s="395">
        <f t="shared" si="37"/>
        <v>0</v>
      </c>
      <c r="T60" s="395">
        <f t="shared" si="38"/>
        <v>0</v>
      </c>
      <c r="U60" s="395">
        <f t="shared" si="39"/>
        <v>0</v>
      </c>
      <c r="V60" s="395">
        <f t="shared" si="40"/>
        <v>0</v>
      </c>
    </row>
    <row r="61" spans="1:22">
      <c r="A61" s="760"/>
      <c r="B61" s="761"/>
      <c r="C61" s="761"/>
      <c r="D61" s="761"/>
      <c r="E61" s="761"/>
      <c r="F61" s="759"/>
      <c r="G61" s="758"/>
      <c r="H61" s="759"/>
      <c r="I61" s="393"/>
      <c r="J61" s="4"/>
      <c r="K61" s="395">
        <f t="shared" si="29"/>
        <v>0</v>
      </c>
      <c r="L61" s="395">
        <f t="shared" si="30"/>
        <v>0</v>
      </c>
      <c r="M61" s="395">
        <f t="shared" si="31"/>
        <v>0</v>
      </c>
      <c r="N61" s="395">
        <f t="shared" si="32"/>
        <v>0</v>
      </c>
      <c r="O61" s="395">
        <f t="shared" si="33"/>
        <v>0</v>
      </c>
      <c r="P61" s="395">
        <f t="shared" si="34"/>
        <v>0</v>
      </c>
      <c r="Q61" s="395">
        <f t="shared" si="35"/>
        <v>0</v>
      </c>
      <c r="R61" s="395">
        <f t="shared" si="36"/>
        <v>0</v>
      </c>
      <c r="S61" s="395">
        <f t="shared" si="37"/>
        <v>0</v>
      </c>
      <c r="T61" s="395">
        <f t="shared" si="38"/>
        <v>0</v>
      </c>
      <c r="U61" s="395">
        <f t="shared" si="39"/>
        <v>0</v>
      </c>
      <c r="V61" s="395">
        <f t="shared" si="40"/>
        <v>0</v>
      </c>
    </row>
    <row r="62" spans="1:22">
      <c r="A62" s="760"/>
      <c r="B62" s="761"/>
      <c r="C62" s="761"/>
      <c r="D62" s="761"/>
      <c r="E62" s="761"/>
      <c r="F62" s="759"/>
      <c r="G62" s="758"/>
      <c r="H62" s="759"/>
      <c r="I62" s="393"/>
      <c r="J62" s="4"/>
      <c r="K62" s="395">
        <f t="shared" si="29"/>
        <v>0</v>
      </c>
      <c r="L62" s="395">
        <f t="shared" si="30"/>
        <v>0</v>
      </c>
      <c r="M62" s="395">
        <f t="shared" si="31"/>
        <v>0</v>
      </c>
      <c r="N62" s="395">
        <f t="shared" si="32"/>
        <v>0</v>
      </c>
      <c r="O62" s="395">
        <f t="shared" si="33"/>
        <v>0</v>
      </c>
      <c r="P62" s="395">
        <f t="shared" si="34"/>
        <v>0</v>
      </c>
      <c r="Q62" s="395">
        <f t="shared" si="35"/>
        <v>0</v>
      </c>
      <c r="R62" s="395">
        <f t="shared" si="36"/>
        <v>0</v>
      </c>
      <c r="S62" s="395">
        <f t="shared" si="37"/>
        <v>0</v>
      </c>
      <c r="T62" s="395">
        <f t="shared" si="38"/>
        <v>0</v>
      </c>
      <c r="U62" s="395">
        <f t="shared" si="39"/>
        <v>0</v>
      </c>
      <c r="V62" s="395">
        <f t="shared" si="40"/>
        <v>0</v>
      </c>
    </row>
    <row r="63" spans="1:22">
      <c r="A63" s="760"/>
      <c r="B63" s="761"/>
      <c r="C63" s="761"/>
      <c r="D63" s="761"/>
      <c r="E63" s="761"/>
      <c r="F63" s="759"/>
      <c r="G63" s="758"/>
      <c r="H63" s="759"/>
      <c r="I63" s="393"/>
      <c r="J63" s="4"/>
      <c r="K63" s="395">
        <f t="shared" si="29"/>
        <v>0</v>
      </c>
      <c r="L63" s="395">
        <f t="shared" si="30"/>
        <v>0</v>
      </c>
      <c r="M63" s="395">
        <f t="shared" si="31"/>
        <v>0</v>
      </c>
      <c r="N63" s="395">
        <f t="shared" si="32"/>
        <v>0</v>
      </c>
      <c r="O63" s="395">
        <f t="shared" si="33"/>
        <v>0</v>
      </c>
      <c r="P63" s="395">
        <f t="shared" si="34"/>
        <v>0</v>
      </c>
      <c r="Q63" s="395">
        <f t="shared" si="35"/>
        <v>0</v>
      </c>
      <c r="R63" s="395">
        <f t="shared" si="36"/>
        <v>0</v>
      </c>
      <c r="S63" s="395">
        <f t="shared" si="37"/>
        <v>0</v>
      </c>
      <c r="T63" s="395">
        <f t="shared" si="38"/>
        <v>0</v>
      </c>
      <c r="U63" s="395">
        <f t="shared" si="39"/>
        <v>0</v>
      </c>
      <c r="V63" s="395">
        <f t="shared" si="40"/>
        <v>0</v>
      </c>
    </row>
    <row r="64" spans="1:22">
      <c r="A64" s="760"/>
      <c r="B64" s="761"/>
      <c r="C64" s="761"/>
      <c r="D64" s="761"/>
      <c r="E64" s="761"/>
      <c r="F64" s="759"/>
      <c r="G64" s="758"/>
      <c r="H64" s="759"/>
      <c r="I64" s="393"/>
      <c r="J64" s="4"/>
      <c r="K64" s="395">
        <f t="shared" si="29"/>
        <v>0</v>
      </c>
      <c r="L64" s="395">
        <f t="shared" si="30"/>
        <v>0</v>
      </c>
      <c r="M64" s="395">
        <f t="shared" si="31"/>
        <v>0</v>
      </c>
      <c r="N64" s="395">
        <f t="shared" si="32"/>
        <v>0</v>
      </c>
      <c r="O64" s="395">
        <f t="shared" si="33"/>
        <v>0</v>
      </c>
      <c r="P64" s="395">
        <f t="shared" si="34"/>
        <v>0</v>
      </c>
      <c r="Q64" s="395">
        <f t="shared" si="35"/>
        <v>0</v>
      </c>
      <c r="R64" s="395">
        <f t="shared" si="36"/>
        <v>0</v>
      </c>
      <c r="S64" s="395">
        <f t="shared" si="37"/>
        <v>0</v>
      </c>
      <c r="T64" s="395">
        <f t="shared" si="38"/>
        <v>0</v>
      </c>
      <c r="U64" s="395">
        <f t="shared" si="39"/>
        <v>0</v>
      </c>
      <c r="V64" s="395">
        <f t="shared" si="40"/>
        <v>0</v>
      </c>
    </row>
    <row r="65" spans="1:22">
      <c r="A65" s="760"/>
      <c r="B65" s="761"/>
      <c r="C65" s="761"/>
      <c r="D65" s="761"/>
      <c r="E65" s="761"/>
      <c r="F65" s="759"/>
      <c r="G65" s="758"/>
      <c r="H65" s="759"/>
      <c r="I65" s="393"/>
      <c r="J65" s="4"/>
      <c r="K65" s="395">
        <f t="shared" si="29"/>
        <v>0</v>
      </c>
      <c r="L65" s="395">
        <f t="shared" si="30"/>
        <v>0</v>
      </c>
      <c r="M65" s="395">
        <f t="shared" si="31"/>
        <v>0</v>
      </c>
      <c r="N65" s="395">
        <f t="shared" si="32"/>
        <v>0</v>
      </c>
      <c r="O65" s="395">
        <f t="shared" si="33"/>
        <v>0</v>
      </c>
      <c r="P65" s="395">
        <f t="shared" si="34"/>
        <v>0</v>
      </c>
      <c r="Q65" s="395">
        <f t="shared" si="35"/>
        <v>0</v>
      </c>
      <c r="R65" s="395">
        <f t="shared" si="36"/>
        <v>0</v>
      </c>
      <c r="S65" s="395">
        <f t="shared" si="37"/>
        <v>0</v>
      </c>
      <c r="T65" s="395">
        <f t="shared" si="38"/>
        <v>0</v>
      </c>
      <c r="U65" s="395">
        <f t="shared" si="39"/>
        <v>0</v>
      </c>
      <c r="V65" s="395">
        <f t="shared" si="40"/>
        <v>0</v>
      </c>
    </row>
    <row r="66" spans="1:22">
      <c r="A66" s="760"/>
      <c r="B66" s="761"/>
      <c r="C66" s="761"/>
      <c r="D66" s="761"/>
      <c r="E66" s="761"/>
      <c r="F66" s="759"/>
      <c r="G66" s="758"/>
      <c r="H66" s="759"/>
      <c r="I66" s="393"/>
      <c r="J66" s="4"/>
      <c r="K66" s="395">
        <f t="shared" si="29"/>
        <v>0</v>
      </c>
      <c r="L66" s="395">
        <f t="shared" si="30"/>
        <v>0</v>
      </c>
      <c r="M66" s="395">
        <f t="shared" si="31"/>
        <v>0</v>
      </c>
      <c r="N66" s="395">
        <f t="shared" si="32"/>
        <v>0</v>
      </c>
      <c r="O66" s="395">
        <f t="shared" si="33"/>
        <v>0</v>
      </c>
      <c r="P66" s="395">
        <f t="shared" si="34"/>
        <v>0</v>
      </c>
      <c r="Q66" s="395">
        <f t="shared" si="35"/>
        <v>0</v>
      </c>
      <c r="R66" s="395">
        <f t="shared" si="36"/>
        <v>0</v>
      </c>
      <c r="S66" s="395">
        <f t="shared" si="37"/>
        <v>0</v>
      </c>
      <c r="T66" s="395">
        <f t="shared" si="38"/>
        <v>0</v>
      </c>
      <c r="U66" s="395">
        <f t="shared" si="39"/>
        <v>0</v>
      </c>
      <c r="V66" s="395">
        <f t="shared" si="40"/>
        <v>0</v>
      </c>
    </row>
    <row r="67" spans="1:22">
      <c r="A67" s="760"/>
      <c r="B67" s="761"/>
      <c r="C67" s="761"/>
      <c r="D67" s="761"/>
      <c r="E67" s="761"/>
      <c r="F67" s="759"/>
      <c r="G67" s="758"/>
      <c r="H67" s="759"/>
      <c r="I67" s="393"/>
      <c r="J67" s="4"/>
      <c r="K67" s="395">
        <f t="shared" si="29"/>
        <v>0</v>
      </c>
      <c r="L67" s="395">
        <f t="shared" si="30"/>
        <v>0</v>
      </c>
      <c r="M67" s="395">
        <f t="shared" si="31"/>
        <v>0</v>
      </c>
      <c r="N67" s="395">
        <f t="shared" si="32"/>
        <v>0</v>
      </c>
      <c r="O67" s="395">
        <f t="shared" si="33"/>
        <v>0</v>
      </c>
      <c r="P67" s="395">
        <f t="shared" si="34"/>
        <v>0</v>
      </c>
      <c r="Q67" s="395">
        <f t="shared" si="35"/>
        <v>0</v>
      </c>
      <c r="R67" s="395">
        <f t="shared" si="36"/>
        <v>0</v>
      </c>
      <c r="S67" s="395">
        <f t="shared" si="37"/>
        <v>0</v>
      </c>
      <c r="T67" s="395">
        <f t="shared" si="38"/>
        <v>0</v>
      </c>
      <c r="U67" s="395">
        <f t="shared" si="39"/>
        <v>0</v>
      </c>
      <c r="V67" s="395">
        <f t="shared" si="40"/>
        <v>0</v>
      </c>
    </row>
    <row r="68" spans="1:22">
      <c r="A68" s="760"/>
      <c r="B68" s="761"/>
      <c r="C68" s="761"/>
      <c r="D68" s="761"/>
      <c r="E68" s="761"/>
      <c r="F68" s="759"/>
      <c r="G68" s="758"/>
      <c r="H68" s="759"/>
      <c r="I68" s="393"/>
      <c r="J68" s="4"/>
      <c r="K68" s="395">
        <f t="shared" si="29"/>
        <v>0</v>
      </c>
      <c r="L68" s="395">
        <f t="shared" si="30"/>
        <v>0</v>
      </c>
      <c r="M68" s="395">
        <f t="shared" si="31"/>
        <v>0</v>
      </c>
      <c r="N68" s="395">
        <f t="shared" si="32"/>
        <v>0</v>
      </c>
      <c r="O68" s="395">
        <f t="shared" si="33"/>
        <v>0</v>
      </c>
      <c r="P68" s="395">
        <f t="shared" si="34"/>
        <v>0</v>
      </c>
      <c r="Q68" s="395">
        <f t="shared" si="35"/>
        <v>0</v>
      </c>
      <c r="R68" s="395">
        <f t="shared" si="36"/>
        <v>0</v>
      </c>
      <c r="S68" s="395">
        <f t="shared" si="37"/>
        <v>0</v>
      </c>
      <c r="T68" s="395">
        <f t="shared" si="38"/>
        <v>0</v>
      </c>
      <c r="U68" s="395">
        <f t="shared" si="39"/>
        <v>0</v>
      </c>
      <c r="V68" s="395">
        <f t="shared" si="40"/>
        <v>0</v>
      </c>
    </row>
    <row r="69" spans="1:22">
      <c r="A69" s="760"/>
      <c r="B69" s="761"/>
      <c r="C69" s="761"/>
      <c r="D69" s="761"/>
      <c r="E69" s="761"/>
      <c r="F69" s="759"/>
      <c r="G69" s="758"/>
      <c r="H69" s="759"/>
      <c r="I69" s="393"/>
      <c r="J69" s="4"/>
      <c r="K69" s="395">
        <f t="shared" si="29"/>
        <v>0</v>
      </c>
      <c r="L69" s="395">
        <f t="shared" si="30"/>
        <v>0</v>
      </c>
      <c r="M69" s="395">
        <f t="shared" si="31"/>
        <v>0</v>
      </c>
      <c r="N69" s="395">
        <f t="shared" si="32"/>
        <v>0</v>
      </c>
      <c r="O69" s="395">
        <f t="shared" si="33"/>
        <v>0</v>
      </c>
      <c r="P69" s="395">
        <f t="shared" si="34"/>
        <v>0</v>
      </c>
      <c r="Q69" s="395">
        <f t="shared" si="35"/>
        <v>0</v>
      </c>
      <c r="R69" s="395">
        <f t="shared" si="36"/>
        <v>0</v>
      </c>
      <c r="S69" s="395">
        <f t="shared" si="37"/>
        <v>0</v>
      </c>
      <c r="T69" s="395">
        <f t="shared" si="38"/>
        <v>0</v>
      </c>
      <c r="U69" s="395">
        <f t="shared" si="39"/>
        <v>0</v>
      </c>
      <c r="V69" s="395">
        <f t="shared" si="40"/>
        <v>0</v>
      </c>
    </row>
    <row r="70" spans="1:22">
      <c r="A70" s="760"/>
      <c r="B70" s="761"/>
      <c r="C70" s="761"/>
      <c r="D70" s="761"/>
      <c r="E70" s="761"/>
      <c r="F70" s="759"/>
      <c r="G70" s="758"/>
      <c r="H70" s="759"/>
      <c r="I70" s="393"/>
      <c r="J70" s="4"/>
      <c r="K70" s="395">
        <f t="shared" si="29"/>
        <v>0</v>
      </c>
      <c r="L70" s="395">
        <f t="shared" si="30"/>
        <v>0</v>
      </c>
      <c r="M70" s="395">
        <f t="shared" si="31"/>
        <v>0</v>
      </c>
      <c r="N70" s="395">
        <f t="shared" si="32"/>
        <v>0</v>
      </c>
      <c r="O70" s="395">
        <f t="shared" si="33"/>
        <v>0</v>
      </c>
      <c r="P70" s="395">
        <f t="shared" si="34"/>
        <v>0</v>
      </c>
      <c r="Q70" s="395">
        <f t="shared" si="35"/>
        <v>0</v>
      </c>
      <c r="R70" s="395">
        <f t="shared" si="36"/>
        <v>0</v>
      </c>
      <c r="S70" s="395">
        <f t="shared" si="37"/>
        <v>0</v>
      </c>
      <c r="T70" s="395">
        <f t="shared" si="38"/>
        <v>0</v>
      </c>
      <c r="U70" s="395">
        <f t="shared" si="39"/>
        <v>0</v>
      </c>
      <c r="V70" s="395">
        <f t="shared" si="40"/>
        <v>0</v>
      </c>
    </row>
    <row r="71" spans="1:22">
      <c r="A71" s="760"/>
      <c r="B71" s="761"/>
      <c r="C71" s="761"/>
      <c r="D71" s="761"/>
      <c r="E71" s="761"/>
      <c r="F71" s="759"/>
      <c r="G71" s="758"/>
      <c r="H71" s="759"/>
      <c r="I71" s="393"/>
      <c r="J71" s="4"/>
      <c r="K71" s="395">
        <f t="shared" si="29"/>
        <v>0</v>
      </c>
      <c r="L71" s="395">
        <f t="shared" si="30"/>
        <v>0</v>
      </c>
      <c r="M71" s="395">
        <f t="shared" si="31"/>
        <v>0</v>
      </c>
      <c r="N71" s="395">
        <f t="shared" si="32"/>
        <v>0</v>
      </c>
      <c r="O71" s="395">
        <f t="shared" si="33"/>
        <v>0</v>
      </c>
      <c r="P71" s="395">
        <f t="shared" si="34"/>
        <v>0</v>
      </c>
      <c r="Q71" s="395">
        <f t="shared" si="35"/>
        <v>0</v>
      </c>
      <c r="R71" s="395">
        <f t="shared" si="36"/>
        <v>0</v>
      </c>
      <c r="S71" s="395">
        <f t="shared" si="37"/>
        <v>0</v>
      </c>
      <c r="T71" s="395">
        <f t="shared" si="38"/>
        <v>0</v>
      </c>
      <c r="U71" s="395">
        <f t="shared" si="39"/>
        <v>0</v>
      </c>
      <c r="V71" s="395">
        <f t="shared" si="40"/>
        <v>0</v>
      </c>
    </row>
    <row r="72" spans="1:22">
      <c r="A72" s="760"/>
      <c r="B72" s="761"/>
      <c r="C72" s="761"/>
      <c r="D72" s="761"/>
      <c r="E72" s="761"/>
      <c r="F72" s="759"/>
      <c r="G72" s="758"/>
      <c r="H72" s="759"/>
      <c r="I72" s="393"/>
      <c r="J72" s="4"/>
      <c r="K72" s="395">
        <f t="shared" si="29"/>
        <v>0</v>
      </c>
      <c r="L72" s="395">
        <f t="shared" si="30"/>
        <v>0</v>
      </c>
      <c r="M72" s="395">
        <f t="shared" si="31"/>
        <v>0</v>
      </c>
      <c r="N72" s="395">
        <f t="shared" si="32"/>
        <v>0</v>
      </c>
      <c r="O72" s="395">
        <f t="shared" si="33"/>
        <v>0</v>
      </c>
      <c r="P72" s="395">
        <f t="shared" si="34"/>
        <v>0</v>
      </c>
      <c r="Q72" s="395">
        <f t="shared" si="35"/>
        <v>0</v>
      </c>
      <c r="R72" s="395">
        <f t="shared" si="36"/>
        <v>0</v>
      </c>
      <c r="S72" s="395">
        <f t="shared" si="37"/>
        <v>0</v>
      </c>
      <c r="T72" s="395">
        <f t="shared" si="38"/>
        <v>0</v>
      </c>
      <c r="U72" s="395">
        <f t="shared" si="39"/>
        <v>0</v>
      </c>
      <c r="V72" s="395">
        <f t="shared" si="40"/>
        <v>0</v>
      </c>
    </row>
    <row r="73" spans="1:22">
      <c r="A73" s="760"/>
      <c r="B73" s="761"/>
      <c r="C73" s="761"/>
      <c r="D73" s="761"/>
      <c r="E73" s="761"/>
      <c r="F73" s="759"/>
      <c r="G73" s="758"/>
      <c r="H73" s="759"/>
      <c r="I73" s="393"/>
      <c r="J73" s="4"/>
      <c r="K73" s="395">
        <f t="shared" si="29"/>
        <v>0</v>
      </c>
      <c r="L73" s="395">
        <f t="shared" si="30"/>
        <v>0</v>
      </c>
      <c r="M73" s="395">
        <f t="shared" si="31"/>
        <v>0</v>
      </c>
      <c r="N73" s="395">
        <f t="shared" si="32"/>
        <v>0</v>
      </c>
      <c r="O73" s="395">
        <f t="shared" si="33"/>
        <v>0</v>
      </c>
      <c r="P73" s="395">
        <f t="shared" si="34"/>
        <v>0</v>
      </c>
      <c r="Q73" s="395">
        <f t="shared" si="35"/>
        <v>0</v>
      </c>
      <c r="R73" s="395">
        <f t="shared" si="36"/>
        <v>0</v>
      </c>
      <c r="S73" s="395">
        <f t="shared" si="37"/>
        <v>0</v>
      </c>
      <c r="T73" s="395">
        <f t="shared" si="38"/>
        <v>0</v>
      </c>
      <c r="U73" s="395">
        <f t="shared" si="39"/>
        <v>0</v>
      </c>
      <c r="V73" s="395">
        <f t="shared" si="40"/>
        <v>0</v>
      </c>
    </row>
    <row r="74" spans="1:22">
      <c r="A74" s="760"/>
      <c r="B74" s="761"/>
      <c r="C74" s="761"/>
      <c r="D74" s="761"/>
      <c r="E74" s="761"/>
      <c r="F74" s="759"/>
      <c r="G74" s="758"/>
      <c r="H74" s="759"/>
      <c r="I74" s="393"/>
      <c r="J74" s="4"/>
      <c r="K74" s="395">
        <f t="shared" si="29"/>
        <v>0</v>
      </c>
      <c r="L74" s="395">
        <f t="shared" si="30"/>
        <v>0</v>
      </c>
      <c r="M74" s="395">
        <f t="shared" si="31"/>
        <v>0</v>
      </c>
      <c r="N74" s="395">
        <f t="shared" si="32"/>
        <v>0</v>
      </c>
      <c r="O74" s="395">
        <f t="shared" si="33"/>
        <v>0</v>
      </c>
      <c r="P74" s="395">
        <f t="shared" si="34"/>
        <v>0</v>
      </c>
      <c r="Q74" s="395">
        <f t="shared" si="35"/>
        <v>0</v>
      </c>
      <c r="R74" s="395">
        <f t="shared" si="36"/>
        <v>0</v>
      </c>
      <c r="S74" s="395">
        <f t="shared" si="37"/>
        <v>0</v>
      </c>
      <c r="T74" s="395">
        <f t="shared" si="38"/>
        <v>0</v>
      </c>
      <c r="U74" s="395">
        <f t="shared" si="39"/>
        <v>0</v>
      </c>
      <c r="V74" s="395">
        <f t="shared" si="40"/>
        <v>0</v>
      </c>
    </row>
    <row r="75" spans="1:22">
      <c r="A75" s="760"/>
      <c r="B75" s="761"/>
      <c r="C75" s="761"/>
      <c r="D75" s="761"/>
      <c r="E75" s="761"/>
      <c r="F75" s="759"/>
      <c r="G75" s="758"/>
      <c r="H75" s="759"/>
      <c r="I75" s="393"/>
      <c r="J75" s="4"/>
      <c r="K75" s="395">
        <f t="shared" si="29"/>
        <v>0</v>
      </c>
      <c r="L75" s="395">
        <f t="shared" si="30"/>
        <v>0</v>
      </c>
      <c r="M75" s="395">
        <f t="shared" si="31"/>
        <v>0</v>
      </c>
      <c r="N75" s="395">
        <f t="shared" si="32"/>
        <v>0</v>
      </c>
      <c r="O75" s="395">
        <f t="shared" si="33"/>
        <v>0</v>
      </c>
      <c r="P75" s="395">
        <f t="shared" si="34"/>
        <v>0</v>
      </c>
      <c r="Q75" s="395">
        <f t="shared" si="35"/>
        <v>0</v>
      </c>
      <c r="R75" s="395">
        <f t="shared" si="36"/>
        <v>0</v>
      </c>
      <c r="S75" s="395">
        <f t="shared" si="37"/>
        <v>0</v>
      </c>
      <c r="T75" s="395">
        <f t="shared" si="38"/>
        <v>0</v>
      </c>
      <c r="U75" s="395">
        <f t="shared" si="39"/>
        <v>0</v>
      </c>
      <c r="V75" s="395">
        <f t="shared" si="40"/>
        <v>0</v>
      </c>
    </row>
    <row r="76" spans="1:22">
      <c r="A76" s="760"/>
      <c r="B76" s="761"/>
      <c r="C76" s="761"/>
      <c r="D76" s="761"/>
      <c r="E76" s="761"/>
      <c r="F76" s="759"/>
      <c r="G76" s="758"/>
      <c r="H76" s="759"/>
      <c r="I76" s="393"/>
      <c r="J76" s="4"/>
      <c r="K76" s="395">
        <f t="shared" si="29"/>
        <v>0</v>
      </c>
      <c r="L76" s="395">
        <f t="shared" si="30"/>
        <v>0</v>
      </c>
      <c r="M76" s="395">
        <f t="shared" si="31"/>
        <v>0</v>
      </c>
      <c r="N76" s="395">
        <f t="shared" si="32"/>
        <v>0</v>
      </c>
      <c r="O76" s="395">
        <f t="shared" si="33"/>
        <v>0</v>
      </c>
      <c r="P76" s="395">
        <f t="shared" si="34"/>
        <v>0</v>
      </c>
      <c r="Q76" s="395">
        <f t="shared" si="35"/>
        <v>0</v>
      </c>
      <c r="R76" s="395">
        <f t="shared" si="36"/>
        <v>0</v>
      </c>
      <c r="S76" s="395">
        <f t="shared" si="37"/>
        <v>0</v>
      </c>
      <c r="T76" s="395">
        <f t="shared" si="38"/>
        <v>0</v>
      </c>
      <c r="U76" s="395">
        <f t="shared" si="39"/>
        <v>0</v>
      </c>
      <c r="V76" s="395">
        <f t="shared" si="40"/>
        <v>0</v>
      </c>
    </row>
    <row r="77" spans="1:22">
      <c r="A77" s="760"/>
      <c r="B77" s="761"/>
      <c r="C77" s="761"/>
      <c r="D77" s="761"/>
      <c r="E77" s="761"/>
      <c r="F77" s="759"/>
      <c r="G77" s="758"/>
      <c r="H77" s="759"/>
      <c r="I77" s="393"/>
      <c r="J77" s="4"/>
      <c r="K77" s="395">
        <f t="shared" si="29"/>
        <v>0</v>
      </c>
      <c r="L77" s="395">
        <f t="shared" si="30"/>
        <v>0</v>
      </c>
      <c r="M77" s="395">
        <f t="shared" si="31"/>
        <v>0</v>
      </c>
      <c r="N77" s="395">
        <f t="shared" si="32"/>
        <v>0</v>
      </c>
      <c r="O77" s="395">
        <f t="shared" si="33"/>
        <v>0</v>
      </c>
      <c r="P77" s="395">
        <f t="shared" si="34"/>
        <v>0</v>
      </c>
      <c r="Q77" s="395">
        <f t="shared" si="35"/>
        <v>0</v>
      </c>
      <c r="R77" s="395">
        <f t="shared" si="36"/>
        <v>0</v>
      </c>
      <c r="S77" s="395">
        <f t="shared" si="37"/>
        <v>0</v>
      </c>
      <c r="T77" s="395">
        <f t="shared" si="38"/>
        <v>0</v>
      </c>
      <c r="U77" s="395">
        <f t="shared" si="39"/>
        <v>0</v>
      </c>
      <c r="V77" s="395">
        <f t="shared" si="40"/>
        <v>0</v>
      </c>
    </row>
    <row r="78" spans="1:22">
      <c r="A78" s="760"/>
      <c r="B78" s="761"/>
      <c r="C78" s="761"/>
      <c r="D78" s="761"/>
      <c r="E78" s="761"/>
      <c r="F78" s="759"/>
      <c r="G78" s="758"/>
      <c r="H78" s="759"/>
      <c r="I78" s="393"/>
      <c r="J78" s="4"/>
      <c r="K78" s="395">
        <f t="shared" si="29"/>
        <v>0</v>
      </c>
      <c r="L78" s="395">
        <f t="shared" si="30"/>
        <v>0</v>
      </c>
      <c r="M78" s="395">
        <f t="shared" si="31"/>
        <v>0</v>
      </c>
      <c r="N78" s="395">
        <f t="shared" si="32"/>
        <v>0</v>
      </c>
      <c r="O78" s="395">
        <f t="shared" si="33"/>
        <v>0</v>
      </c>
      <c r="P78" s="395">
        <f t="shared" si="34"/>
        <v>0</v>
      </c>
      <c r="Q78" s="395">
        <f t="shared" si="35"/>
        <v>0</v>
      </c>
      <c r="R78" s="395">
        <f t="shared" si="36"/>
        <v>0</v>
      </c>
      <c r="S78" s="395">
        <f t="shared" si="37"/>
        <v>0</v>
      </c>
      <c r="T78" s="395">
        <f t="shared" si="38"/>
        <v>0</v>
      </c>
      <c r="U78" s="395">
        <f t="shared" si="39"/>
        <v>0</v>
      </c>
      <c r="V78" s="395">
        <f t="shared" si="40"/>
        <v>0</v>
      </c>
    </row>
    <row r="79" spans="1:22">
      <c r="A79" s="760"/>
      <c r="B79" s="761"/>
      <c r="C79" s="761"/>
      <c r="D79" s="761"/>
      <c r="E79" s="761"/>
      <c r="F79" s="759"/>
      <c r="G79" s="758"/>
      <c r="H79" s="759"/>
      <c r="I79" s="393"/>
      <c r="J79" s="4"/>
      <c r="K79" s="395">
        <f t="shared" si="29"/>
        <v>0</v>
      </c>
      <c r="L79" s="395">
        <f t="shared" si="30"/>
        <v>0</v>
      </c>
      <c r="M79" s="395">
        <f t="shared" si="31"/>
        <v>0</v>
      </c>
      <c r="N79" s="395">
        <f t="shared" si="32"/>
        <v>0</v>
      </c>
      <c r="O79" s="395">
        <f t="shared" si="33"/>
        <v>0</v>
      </c>
      <c r="P79" s="395">
        <f t="shared" si="34"/>
        <v>0</v>
      </c>
      <c r="Q79" s="395">
        <f t="shared" si="35"/>
        <v>0</v>
      </c>
      <c r="R79" s="395">
        <f t="shared" si="36"/>
        <v>0</v>
      </c>
      <c r="S79" s="395">
        <f t="shared" si="37"/>
        <v>0</v>
      </c>
      <c r="T79" s="395">
        <f t="shared" si="38"/>
        <v>0</v>
      </c>
      <c r="U79" s="395">
        <f t="shared" si="39"/>
        <v>0</v>
      </c>
      <c r="V79" s="395">
        <f t="shared" si="40"/>
        <v>0</v>
      </c>
    </row>
    <row r="80" spans="1:22">
      <c r="A80" s="760"/>
      <c r="B80" s="761"/>
      <c r="C80" s="761"/>
      <c r="D80" s="761"/>
      <c r="E80" s="761"/>
      <c r="F80" s="759"/>
      <c r="G80" s="758"/>
      <c r="H80" s="759"/>
      <c r="I80" s="393"/>
      <c r="J80" s="4"/>
      <c r="K80" s="395">
        <f t="shared" si="29"/>
        <v>0</v>
      </c>
      <c r="L80" s="395">
        <f t="shared" si="30"/>
        <v>0</v>
      </c>
      <c r="M80" s="395">
        <f t="shared" si="31"/>
        <v>0</v>
      </c>
      <c r="N80" s="395">
        <f t="shared" si="32"/>
        <v>0</v>
      </c>
      <c r="O80" s="395">
        <f t="shared" si="33"/>
        <v>0</v>
      </c>
      <c r="P80" s="395">
        <f t="shared" si="34"/>
        <v>0</v>
      </c>
      <c r="Q80" s="395">
        <f t="shared" si="35"/>
        <v>0</v>
      </c>
      <c r="R80" s="395">
        <f t="shared" si="36"/>
        <v>0</v>
      </c>
      <c r="S80" s="395">
        <f t="shared" si="37"/>
        <v>0</v>
      </c>
      <c r="T80" s="395">
        <f t="shared" si="38"/>
        <v>0</v>
      </c>
      <c r="U80" s="395">
        <f t="shared" si="39"/>
        <v>0</v>
      </c>
      <c r="V80" s="395">
        <f t="shared" si="40"/>
        <v>0</v>
      </c>
    </row>
    <row r="81" spans="1:22">
      <c r="A81" s="760"/>
      <c r="B81" s="761"/>
      <c r="C81" s="761"/>
      <c r="D81" s="761"/>
      <c r="E81" s="761"/>
      <c r="F81" s="759"/>
      <c r="G81" s="758"/>
      <c r="H81" s="759"/>
      <c r="I81" s="393"/>
      <c r="J81" s="4"/>
      <c r="K81" s="395">
        <f t="shared" si="29"/>
        <v>0</v>
      </c>
      <c r="L81" s="395">
        <f t="shared" si="30"/>
        <v>0</v>
      </c>
      <c r="M81" s="395">
        <f t="shared" si="31"/>
        <v>0</v>
      </c>
      <c r="N81" s="395">
        <f t="shared" si="32"/>
        <v>0</v>
      </c>
      <c r="O81" s="395">
        <f t="shared" si="33"/>
        <v>0</v>
      </c>
      <c r="P81" s="395">
        <f t="shared" si="34"/>
        <v>0</v>
      </c>
      <c r="Q81" s="395">
        <f t="shared" si="35"/>
        <v>0</v>
      </c>
      <c r="R81" s="395">
        <f t="shared" si="36"/>
        <v>0</v>
      </c>
      <c r="S81" s="395">
        <f t="shared" si="37"/>
        <v>0</v>
      </c>
      <c r="T81" s="395">
        <f t="shared" si="38"/>
        <v>0</v>
      </c>
      <c r="U81" s="395">
        <f t="shared" si="39"/>
        <v>0</v>
      </c>
      <c r="V81" s="395">
        <f t="shared" si="40"/>
        <v>0</v>
      </c>
    </row>
    <row r="82" spans="1:22">
      <c r="A82" s="760"/>
      <c r="B82" s="761"/>
      <c r="C82" s="761"/>
      <c r="D82" s="761"/>
      <c r="E82" s="761"/>
      <c r="F82" s="759"/>
      <c r="G82" s="758"/>
      <c r="H82" s="759"/>
      <c r="I82" s="393"/>
      <c r="J82" s="4"/>
      <c r="K82" s="395">
        <f t="shared" si="29"/>
        <v>0</v>
      </c>
      <c r="L82" s="395">
        <f t="shared" si="30"/>
        <v>0</v>
      </c>
      <c r="M82" s="395">
        <f t="shared" si="31"/>
        <v>0</v>
      </c>
      <c r="N82" s="395">
        <f t="shared" si="32"/>
        <v>0</v>
      </c>
      <c r="O82" s="395">
        <f t="shared" si="33"/>
        <v>0</v>
      </c>
      <c r="P82" s="395">
        <f t="shared" si="34"/>
        <v>0</v>
      </c>
      <c r="Q82" s="395">
        <f t="shared" si="35"/>
        <v>0</v>
      </c>
      <c r="R82" s="395">
        <f t="shared" si="36"/>
        <v>0</v>
      </c>
      <c r="S82" s="395">
        <f t="shared" si="37"/>
        <v>0</v>
      </c>
      <c r="T82" s="395">
        <f t="shared" si="38"/>
        <v>0</v>
      </c>
      <c r="U82" s="395">
        <f t="shared" si="39"/>
        <v>0</v>
      </c>
      <c r="V82" s="395">
        <f t="shared" si="40"/>
        <v>0</v>
      </c>
    </row>
    <row r="83" spans="1:22">
      <c r="A83" s="760"/>
      <c r="B83" s="761"/>
      <c r="C83" s="761"/>
      <c r="D83" s="761"/>
      <c r="E83" s="761"/>
      <c r="F83" s="759"/>
      <c r="G83" s="758"/>
      <c r="H83" s="759"/>
      <c r="I83" s="393"/>
      <c r="J83" s="4"/>
      <c r="K83" s="395">
        <f t="shared" si="29"/>
        <v>0</v>
      </c>
      <c r="L83" s="395">
        <f t="shared" si="30"/>
        <v>0</v>
      </c>
      <c r="M83" s="395">
        <f t="shared" si="31"/>
        <v>0</v>
      </c>
      <c r="N83" s="395">
        <f t="shared" si="32"/>
        <v>0</v>
      </c>
      <c r="O83" s="395">
        <f t="shared" si="33"/>
        <v>0</v>
      </c>
      <c r="P83" s="395">
        <f t="shared" si="34"/>
        <v>0</v>
      </c>
      <c r="Q83" s="395">
        <f t="shared" si="35"/>
        <v>0</v>
      </c>
      <c r="R83" s="395">
        <f t="shared" si="36"/>
        <v>0</v>
      </c>
      <c r="S83" s="395">
        <f t="shared" si="37"/>
        <v>0</v>
      </c>
      <c r="T83" s="395">
        <f t="shared" si="38"/>
        <v>0</v>
      </c>
      <c r="U83" s="395">
        <f t="shared" si="39"/>
        <v>0</v>
      </c>
      <c r="V83" s="395">
        <f t="shared" si="40"/>
        <v>0</v>
      </c>
    </row>
    <row r="84" spans="1:22">
      <c r="A84" s="760"/>
      <c r="B84" s="761"/>
      <c r="C84" s="761"/>
      <c r="D84" s="761"/>
      <c r="E84" s="761"/>
      <c r="F84" s="759"/>
      <c r="G84" s="758"/>
      <c r="H84" s="759"/>
      <c r="I84" s="393"/>
      <c r="J84" s="4"/>
      <c r="K84" s="395">
        <f t="shared" si="29"/>
        <v>0</v>
      </c>
      <c r="L84" s="395">
        <f t="shared" si="30"/>
        <v>0</v>
      </c>
      <c r="M84" s="395">
        <f t="shared" si="31"/>
        <v>0</v>
      </c>
      <c r="N84" s="395">
        <f t="shared" si="32"/>
        <v>0</v>
      </c>
      <c r="O84" s="395">
        <f t="shared" si="33"/>
        <v>0</v>
      </c>
      <c r="P84" s="395">
        <f t="shared" si="34"/>
        <v>0</v>
      </c>
      <c r="Q84" s="395">
        <f t="shared" si="35"/>
        <v>0</v>
      </c>
      <c r="R84" s="395">
        <f t="shared" si="36"/>
        <v>0</v>
      </c>
      <c r="S84" s="395">
        <f t="shared" si="37"/>
        <v>0</v>
      </c>
      <c r="T84" s="395">
        <f t="shared" si="38"/>
        <v>0</v>
      </c>
      <c r="U84" s="395">
        <f t="shared" si="39"/>
        <v>0</v>
      </c>
      <c r="V84" s="395">
        <f t="shared" si="40"/>
        <v>0</v>
      </c>
    </row>
    <row r="85" spans="1:22">
      <c r="A85" s="760"/>
      <c r="B85" s="761"/>
      <c r="C85" s="761"/>
      <c r="D85" s="761"/>
      <c r="E85" s="761"/>
      <c r="F85" s="759"/>
      <c r="G85" s="758"/>
      <c r="H85" s="759"/>
      <c r="I85" s="393"/>
      <c r="J85" s="4"/>
      <c r="K85" s="395">
        <f t="shared" si="29"/>
        <v>0</v>
      </c>
      <c r="L85" s="395">
        <f t="shared" si="30"/>
        <v>0</v>
      </c>
      <c r="M85" s="395">
        <f t="shared" si="31"/>
        <v>0</v>
      </c>
      <c r="N85" s="395">
        <f t="shared" si="32"/>
        <v>0</v>
      </c>
      <c r="O85" s="395">
        <f t="shared" si="33"/>
        <v>0</v>
      </c>
      <c r="P85" s="395">
        <f t="shared" si="34"/>
        <v>0</v>
      </c>
      <c r="Q85" s="395">
        <f t="shared" si="35"/>
        <v>0</v>
      </c>
      <c r="R85" s="395">
        <f t="shared" si="36"/>
        <v>0</v>
      </c>
      <c r="S85" s="395">
        <f t="shared" si="37"/>
        <v>0</v>
      </c>
      <c r="T85" s="395">
        <f t="shared" si="38"/>
        <v>0</v>
      </c>
      <c r="U85" s="395">
        <f t="shared" si="39"/>
        <v>0</v>
      </c>
      <c r="V85" s="395">
        <f t="shared" si="40"/>
        <v>0</v>
      </c>
    </row>
    <row r="86" spans="1:22">
      <c r="A86" s="760"/>
      <c r="B86" s="761"/>
      <c r="C86" s="761"/>
      <c r="D86" s="761"/>
      <c r="E86" s="761"/>
      <c r="F86" s="759"/>
      <c r="G86" s="758"/>
      <c r="H86" s="759"/>
      <c r="I86" s="393"/>
      <c r="J86" s="4"/>
      <c r="K86" s="395">
        <f t="shared" si="29"/>
        <v>0</v>
      </c>
      <c r="L86" s="395">
        <f t="shared" si="30"/>
        <v>0</v>
      </c>
      <c r="M86" s="395">
        <f t="shared" si="31"/>
        <v>0</v>
      </c>
      <c r="N86" s="395">
        <f t="shared" si="32"/>
        <v>0</v>
      </c>
      <c r="O86" s="395">
        <f t="shared" si="33"/>
        <v>0</v>
      </c>
      <c r="P86" s="395">
        <f t="shared" si="34"/>
        <v>0</v>
      </c>
      <c r="Q86" s="395">
        <f t="shared" si="35"/>
        <v>0</v>
      </c>
      <c r="R86" s="395">
        <f t="shared" si="36"/>
        <v>0</v>
      </c>
      <c r="S86" s="395">
        <f t="shared" si="37"/>
        <v>0</v>
      </c>
      <c r="T86" s="395">
        <f t="shared" si="38"/>
        <v>0</v>
      </c>
      <c r="U86" s="395">
        <f t="shared" si="39"/>
        <v>0</v>
      </c>
      <c r="V86" s="395">
        <f t="shared" si="40"/>
        <v>0</v>
      </c>
    </row>
    <row r="87" spans="1:22">
      <c r="A87" s="760"/>
      <c r="B87" s="761"/>
      <c r="C87" s="761"/>
      <c r="D87" s="761"/>
      <c r="E87" s="761"/>
      <c r="F87" s="759"/>
      <c r="G87" s="758"/>
      <c r="H87" s="759"/>
      <c r="I87" s="393"/>
      <c r="J87" s="4"/>
      <c r="K87" s="395">
        <f t="shared" si="29"/>
        <v>0</v>
      </c>
      <c r="L87" s="395">
        <f t="shared" si="30"/>
        <v>0</v>
      </c>
      <c r="M87" s="395">
        <f t="shared" si="31"/>
        <v>0</v>
      </c>
      <c r="N87" s="395">
        <f t="shared" si="32"/>
        <v>0</v>
      </c>
      <c r="O87" s="395">
        <f t="shared" si="33"/>
        <v>0</v>
      </c>
      <c r="P87" s="395">
        <f t="shared" si="34"/>
        <v>0</v>
      </c>
      <c r="Q87" s="395">
        <f t="shared" si="35"/>
        <v>0</v>
      </c>
      <c r="R87" s="395">
        <f t="shared" si="36"/>
        <v>0</v>
      </c>
      <c r="S87" s="395">
        <f t="shared" si="37"/>
        <v>0</v>
      </c>
      <c r="T87" s="395">
        <f t="shared" si="38"/>
        <v>0</v>
      </c>
      <c r="U87" s="395">
        <f t="shared" si="39"/>
        <v>0</v>
      </c>
      <c r="V87" s="395">
        <f t="shared" si="40"/>
        <v>0</v>
      </c>
    </row>
    <row r="88" spans="1:22">
      <c r="A88" s="760"/>
      <c r="B88" s="761"/>
      <c r="C88" s="761"/>
      <c r="D88" s="761"/>
      <c r="E88" s="761"/>
      <c r="F88" s="759"/>
      <c r="G88" s="758"/>
      <c r="H88" s="759"/>
      <c r="I88" s="393"/>
      <c r="J88" s="4"/>
      <c r="K88" s="395">
        <f t="shared" si="29"/>
        <v>0</v>
      </c>
      <c r="L88" s="395">
        <f t="shared" si="30"/>
        <v>0</v>
      </c>
      <c r="M88" s="395">
        <f t="shared" si="31"/>
        <v>0</v>
      </c>
      <c r="N88" s="395">
        <f t="shared" si="32"/>
        <v>0</v>
      </c>
      <c r="O88" s="395">
        <f t="shared" si="33"/>
        <v>0</v>
      </c>
      <c r="P88" s="395">
        <f t="shared" si="34"/>
        <v>0</v>
      </c>
      <c r="Q88" s="395">
        <f t="shared" si="35"/>
        <v>0</v>
      </c>
      <c r="R88" s="395">
        <f t="shared" si="36"/>
        <v>0</v>
      </c>
      <c r="S88" s="395">
        <f t="shared" si="37"/>
        <v>0</v>
      </c>
      <c r="T88" s="395">
        <f t="shared" si="38"/>
        <v>0</v>
      </c>
      <c r="U88" s="395">
        <f t="shared" si="39"/>
        <v>0</v>
      </c>
      <c r="V88" s="395">
        <f t="shared" si="40"/>
        <v>0</v>
      </c>
    </row>
    <row r="89" spans="1:22">
      <c r="A89" s="760"/>
      <c r="B89" s="761"/>
      <c r="C89" s="761"/>
      <c r="D89" s="761"/>
      <c r="E89" s="761"/>
      <c r="F89" s="759"/>
      <c r="G89" s="758"/>
      <c r="H89" s="759"/>
      <c r="I89" s="393"/>
      <c r="J89" s="4"/>
      <c r="K89" s="395">
        <f t="shared" si="29"/>
        <v>0</v>
      </c>
      <c r="L89" s="395">
        <f t="shared" si="30"/>
        <v>0</v>
      </c>
      <c r="M89" s="395">
        <f t="shared" si="31"/>
        <v>0</v>
      </c>
      <c r="N89" s="395">
        <f t="shared" si="32"/>
        <v>0</v>
      </c>
      <c r="O89" s="395">
        <f t="shared" si="33"/>
        <v>0</v>
      </c>
      <c r="P89" s="395">
        <f t="shared" si="34"/>
        <v>0</v>
      </c>
      <c r="Q89" s="395">
        <f t="shared" si="35"/>
        <v>0</v>
      </c>
      <c r="R89" s="395">
        <f t="shared" si="36"/>
        <v>0</v>
      </c>
      <c r="S89" s="395">
        <f t="shared" si="37"/>
        <v>0</v>
      </c>
      <c r="T89" s="395">
        <f t="shared" si="38"/>
        <v>0</v>
      </c>
      <c r="U89" s="395">
        <f t="shared" si="39"/>
        <v>0</v>
      </c>
      <c r="V89" s="395">
        <f t="shared" si="40"/>
        <v>0</v>
      </c>
    </row>
    <row r="90" spans="1:22" ht="17" thickBot="1">
      <c r="A90" s="760"/>
      <c r="B90" s="761"/>
      <c r="C90" s="761"/>
      <c r="D90" s="761"/>
      <c r="E90" s="761"/>
      <c r="F90" s="759"/>
      <c r="G90" s="758"/>
      <c r="H90" s="759"/>
      <c r="I90" s="393"/>
      <c r="J90" s="4"/>
      <c r="K90" s="395">
        <f t="shared" si="29"/>
        <v>0</v>
      </c>
      <c r="L90" s="395">
        <f t="shared" si="30"/>
        <v>0</v>
      </c>
      <c r="M90" s="395">
        <f t="shared" si="31"/>
        <v>0</v>
      </c>
      <c r="N90" s="395">
        <f t="shared" si="32"/>
        <v>0</v>
      </c>
      <c r="O90" s="395">
        <f t="shared" si="33"/>
        <v>0</v>
      </c>
      <c r="P90" s="395">
        <f t="shared" si="34"/>
        <v>0</v>
      </c>
      <c r="Q90" s="395">
        <f t="shared" si="35"/>
        <v>0</v>
      </c>
      <c r="R90" s="395">
        <f t="shared" si="36"/>
        <v>0</v>
      </c>
      <c r="S90" s="395">
        <f t="shared" si="37"/>
        <v>0</v>
      </c>
      <c r="T90" s="395">
        <f t="shared" si="38"/>
        <v>0</v>
      </c>
      <c r="U90" s="395">
        <f t="shared" si="39"/>
        <v>0</v>
      </c>
      <c r="V90" s="395">
        <f t="shared" si="40"/>
        <v>0</v>
      </c>
    </row>
    <row r="91" spans="1:22" ht="16" customHeight="1" thickBot="1">
      <c r="A91" s="385" t="s">
        <v>243</v>
      </c>
      <c r="B91" s="386"/>
      <c r="C91" s="386"/>
      <c r="D91" s="386"/>
      <c r="E91" s="386"/>
      <c r="F91" s="386"/>
      <c r="G91" s="386"/>
      <c r="H91" s="387"/>
      <c r="I91" s="275">
        <f>SUM(I46:I90)</f>
        <v>0</v>
      </c>
      <c r="K91" s="395">
        <f>SUM(K46:K90)</f>
        <v>0</v>
      </c>
      <c r="L91" s="395">
        <f t="shared" ref="L91:V91" si="41">SUM(L46:L90)</f>
        <v>0</v>
      </c>
      <c r="M91" s="395">
        <f t="shared" si="41"/>
        <v>0</v>
      </c>
      <c r="N91" s="395">
        <f t="shared" si="41"/>
        <v>0</v>
      </c>
      <c r="O91" s="395">
        <f t="shared" si="41"/>
        <v>0</v>
      </c>
      <c r="P91" s="395">
        <f t="shared" si="41"/>
        <v>0</v>
      </c>
      <c r="Q91" s="395">
        <f t="shared" si="41"/>
        <v>0</v>
      </c>
      <c r="R91" s="395">
        <f t="shared" si="41"/>
        <v>0</v>
      </c>
      <c r="S91" s="395">
        <f t="shared" si="41"/>
        <v>0</v>
      </c>
      <c r="T91" s="395">
        <f t="shared" si="41"/>
        <v>0</v>
      </c>
      <c r="U91" s="395">
        <f t="shared" si="41"/>
        <v>0</v>
      </c>
      <c r="V91" s="395">
        <f t="shared" si="41"/>
        <v>0</v>
      </c>
    </row>
    <row r="92" spans="1:22" ht="16" customHeight="1">
      <c r="A92" s="682"/>
      <c r="B92" s="682"/>
      <c r="C92" s="793" t="s">
        <v>609</v>
      </c>
      <c r="D92" s="793"/>
      <c r="E92" s="793"/>
      <c r="F92" s="793"/>
      <c r="G92" s="793"/>
      <c r="H92" s="793"/>
      <c r="I92" s="793"/>
      <c r="K92" s="44"/>
      <c r="L92" s="44"/>
      <c r="M92" s="44"/>
      <c r="N92" s="44"/>
      <c r="O92" s="44"/>
      <c r="P92" s="44"/>
      <c r="Q92" s="44"/>
      <c r="R92" s="44"/>
      <c r="S92" s="44"/>
      <c r="T92" s="44"/>
      <c r="U92" s="44"/>
      <c r="V92" s="44"/>
    </row>
    <row r="93" spans="1:22" ht="16" customHeight="1">
      <c r="A93" s="682"/>
      <c r="B93" s="682"/>
      <c r="C93" s="794"/>
      <c r="D93" s="794"/>
      <c r="E93" s="794"/>
      <c r="F93" s="794"/>
      <c r="G93" s="794"/>
      <c r="H93" s="794"/>
      <c r="I93" s="794"/>
    </row>
    <row r="94" spans="1:22" ht="16" customHeight="1">
      <c r="A94" s="682"/>
      <c r="B94" s="682"/>
      <c r="C94" s="794"/>
      <c r="D94" s="794"/>
      <c r="E94" s="794"/>
      <c r="F94" s="794"/>
      <c r="G94" s="794"/>
      <c r="H94" s="794"/>
      <c r="I94" s="794"/>
    </row>
    <row r="95" spans="1:22" ht="16" customHeight="1">
      <c r="A95" s="682"/>
      <c r="B95" s="682"/>
      <c r="C95" s="794"/>
      <c r="D95" s="794"/>
      <c r="E95" s="794"/>
      <c r="F95" s="794"/>
      <c r="G95" s="794"/>
      <c r="H95" s="794"/>
      <c r="I95" s="794"/>
    </row>
    <row r="96" spans="1:22" ht="19" customHeight="1">
      <c r="A96" s="682"/>
      <c r="B96" s="682"/>
      <c r="C96" s="794"/>
      <c r="D96" s="794"/>
      <c r="E96" s="794"/>
      <c r="F96" s="794"/>
      <c r="G96" s="794"/>
      <c r="H96" s="794"/>
      <c r="I96" s="794"/>
    </row>
  </sheetData>
  <sheetProtection sheet="1" objects="1" scenarios="1"/>
  <mergeCells count="153">
    <mergeCell ref="C4:S4"/>
    <mergeCell ref="C2:D2"/>
    <mergeCell ref="C3:D3"/>
    <mergeCell ref="A2:B2"/>
    <mergeCell ref="A3:B3"/>
    <mergeCell ref="C1:S1"/>
    <mergeCell ref="E2:S2"/>
    <mergeCell ref="E3:S3"/>
    <mergeCell ref="A92:B96"/>
    <mergeCell ref="A5:I5"/>
    <mergeCell ref="A8:I8"/>
    <mergeCell ref="A32:D32"/>
    <mergeCell ref="A31:D31"/>
    <mergeCell ref="G47:H47"/>
    <mergeCell ref="G48:H48"/>
    <mergeCell ref="G49:H49"/>
    <mergeCell ref="G50:H50"/>
    <mergeCell ref="A30:D30"/>
    <mergeCell ref="A54:F54"/>
    <mergeCell ref="A55:F55"/>
    <mergeCell ref="A56:F56"/>
    <mergeCell ref="G54:H54"/>
    <mergeCell ref="G55:H55"/>
    <mergeCell ref="G56:H56"/>
    <mergeCell ref="C92:I96"/>
    <mergeCell ref="A58:F58"/>
    <mergeCell ref="G58:H58"/>
    <mergeCell ref="A59:F59"/>
    <mergeCell ref="A10:B10"/>
    <mergeCell ref="D10:I10"/>
    <mergeCell ref="A84:F84"/>
    <mergeCell ref="G84:H84"/>
    <mergeCell ref="G52:H52"/>
    <mergeCell ref="G53:H53"/>
    <mergeCell ref="G59:H59"/>
    <mergeCell ref="A81:F81"/>
    <mergeCell ref="G81:H81"/>
    <mergeCell ref="A82:F82"/>
    <mergeCell ref="G82:H82"/>
    <mergeCell ref="A83:F83"/>
    <mergeCell ref="G83:H83"/>
    <mergeCell ref="A52:F52"/>
    <mergeCell ref="A53:F53"/>
    <mergeCell ref="A46:F46"/>
    <mergeCell ref="A47:F47"/>
    <mergeCell ref="A48:F48"/>
    <mergeCell ref="A90:F90"/>
    <mergeCell ref="G90:H90"/>
    <mergeCell ref="K10:L10"/>
    <mergeCell ref="N10:S10"/>
    <mergeCell ref="A49:F49"/>
    <mergeCell ref="A50:F50"/>
    <mergeCell ref="A51:F51"/>
    <mergeCell ref="G51:H51"/>
    <mergeCell ref="A44:I44"/>
    <mergeCell ref="U10:V10"/>
    <mergeCell ref="X10:AC10"/>
    <mergeCell ref="K5:S5"/>
    <mergeCell ref="U5:AC5"/>
    <mergeCell ref="AE5:AM5"/>
    <mergeCell ref="A7:E7"/>
    <mergeCell ref="F7:G7"/>
    <mergeCell ref="H7:I7"/>
    <mergeCell ref="K7:O7"/>
    <mergeCell ref="AJ7:AK7"/>
    <mergeCell ref="AL7:AM7"/>
    <mergeCell ref="F6:G6"/>
    <mergeCell ref="H6:I6"/>
    <mergeCell ref="P6:Q6"/>
    <mergeCell ref="AL6:AM6"/>
    <mergeCell ref="AJ6:AK6"/>
    <mergeCell ref="A6:E6"/>
    <mergeCell ref="K6:O6"/>
    <mergeCell ref="U6:Y6"/>
    <mergeCell ref="AE6:AI6"/>
    <mergeCell ref="AE31:AH31"/>
    <mergeCell ref="G45:H45"/>
    <mergeCell ref="G46:H46"/>
    <mergeCell ref="K31:N31"/>
    <mergeCell ref="U31:X31"/>
    <mergeCell ref="R6:S6"/>
    <mergeCell ref="Z6:AA6"/>
    <mergeCell ref="AB6:AC6"/>
    <mergeCell ref="AE10:AF10"/>
    <mergeCell ref="AH10:AM10"/>
    <mergeCell ref="K8:S8"/>
    <mergeCell ref="U8:AC8"/>
    <mergeCell ref="AE8:AM8"/>
    <mergeCell ref="P7:Q7"/>
    <mergeCell ref="R7:S7"/>
    <mergeCell ref="U7:Y7"/>
    <mergeCell ref="Z7:AA7"/>
    <mergeCell ref="AB7:AC7"/>
    <mergeCell ref="AE7:AI7"/>
    <mergeCell ref="K30:N30"/>
    <mergeCell ref="U30:X30"/>
    <mergeCell ref="AE30:AH30"/>
    <mergeCell ref="A43:I43"/>
    <mergeCell ref="A45:F45"/>
    <mergeCell ref="A89:F89"/>
    <mergeCell ref="G89:H89"/>
    <mergeCell ref="A86:F86"/>
    <mergeCell ref="G86:H86"/>
    <mergeCell ref="A87:F87"/>
    <mergeCell ref="G87:H87"/>
    <mergeCell ref="A88:F88"/>
    <mergeCell ref="G88:H88"/>
    <mergeCell ref="A57:F57"/>
    <mergeCell ref="G57:H57"/>
    <mergeCell ref="A85:F85"/>
    <mergeCell ref="G85:H85"/>
    <mergeCell ref="A60:F60"/>
    <mergeCell ref="A61:F61"/>
    <mergeCell ref="A62:F62"/>
    <mergeCell ref="A63:F63"/>
    <mergeCell ref="A64:F64"/>
    <mergeCell ref="A65:F65"/>
    <mergeCell ref="A66:F66"/>
    <mergeCell ref="A67:F67"/>
    <mergeCell ref="A68:F68"/>
    <mergeCell ref="A69:F69"/>
    <mergeCell ref="A70:F70"/>
    <mergeCell ref="A71:F71"/>
    <mergeCell ref="A72:F72"/>
    <mergeCell ref="A73:F73"/>
    <mergeCell ref="A74:F74"/>
    <mergeCell ref="A75:F75"/>
    <mergeCell ref="A76:F76"/>
    <mergeCell ref="A77:F77"/>
    <mergeCell ref="A78:F78"/>
    <mergeCell ref="A79:F79"/>
    <mergeCell ref="A80:F80"/>
    <mergeCell ref="G60:H60"/>
    <mergeCell ref="G61:H61"/>
    <mergeCell ref="G62:H62"/>
    <mergeCell ref="G63:H63"/>
    <mergeCell ref="G64:H64"/>
    <mergeCell ref="G65:H65"/>
    <mergeCell ref="G66:H66"/>
    <mergeCell ref="G67:H67"/>
    <mergeCell ref="G68:H68"/>
    <mergeCell ref="G78:H78"/>
    <mergeCell ref="G79:H79"/>
    <mergeCell ref="G80:H80"/>
    <mergeCell ref="G69:H69"/>
    <mergeCell ref="G70:H70"/>
    <mergeCell ref="G71:H71"/>
    <mergeCell ref="G72:H72"/>
    <mergeCell ref="G73:H73"/>
    <mergeCell ref="G74:H74"/>
    <mergeCell ref="G75:H75"/>
    <mergeCell ref="G76:H76"/>
    <mergeCell ref="G77:H77"/>
  </mergeCells>
  <phoneticPr fontId="5" type="noConversion"/>
  <conditionalFormatting sqref="A11:A29">
    <cfRule type="expression" dxfId="884" priority="19">
      <formula>OR($A11="Lektion",)</formula>
    </cfRule>
    <cfRule type="expression" dxfId="883" priority="20" stopIfTrue="1">
      <formula>OR($A11="Elevpause",)</formula>
    </cfRule>
  </conditionalFormatting>
  <conditionalFormatting sqref="C11:D29">
    <cfRule type="expression" dxfId="882" priority="22">
      <formula>OR($A11="Lektion",)</formula>
    </cfRule>
    <cfRule type="expression" dxfId="881" priority="21">
      <formula>OR($A11="elevpause",)</formula>
    </cfRule>
  </conditionalFormatting>
  <conditionalFormatting sqref="E11:I29 G48:I57 I57:I89">
    <cfRule type="expression" dxfId="880" priority="44">
      <formula>OR($B11&gt;0,)</formula>
    </cfRule>
  </conditionalFormatting>
  <conditionalFormatting sqref="G46:I90">
    <cfRule type="expression" dxfId="879" priority="28">
      <formula>OR($A46&gt;0,)</formula>
    </cfRule>
  </conditionalFormatting>
  <conditionalFormatting sqref="G81:I90">
    <cfRule type="expression" dxfId="878" priority="29">
      <formula>OR($B81&gt;0,)</formula>
    </cfRule>
  </conditionalFormatting>
  <conditionalFormatting sqref="K11:K29">
    <cfRule type="expression" dxfId="877" priority="16">
      <formula>OR($K11="Lektion",)</formula>
    </cfRule>
    <cfRule type="expression" dxfId="876" priority="17">
      <formula>OR($K11="Elevpause",)</formula>
    </cfRule>
  </conditionalFormatting>
  <conditionalFormatting sqref="M11:N29">
    <cfRule type="expression" dxfId="875" priority="14" stopIfTrue="1">
      <formula>OR($K11="elevpause",)</formula>
    </cfRule>
    <cfRule type="expression" dxfId="874" priority="15" stopIfTrue="1">
      <formula>OR($K11="Lektion",)</formula>
    </cfRule>
  </conditionalFormatting>
  <conditionalFormatting sqref="O11:S29">
    <cfRule type="expression" dxfId="873" priority="5">
      <formula>OR($L11&gt;0,)</formula>
    </cfRule>
  </conditionalFormatting>
  <conditionalFormatting sqref="U11:U29">
    <cfRule type="expression" dxfId="872" priority="12" stopIfTrue="1">
      <formula>OR($U11="Lektion",)</formula>
    </cfRule>
    <cfRule type="expression" dxfId="871" priority="13" stopIfTrue="1">
      <formula>OR($U11="Elevpause",)</formula>
    </cfRule>
  </conditionalFormatting>
  <conditionalFormatting sqref="W11:X29">
    <cfRule type="expression" dxfId="870" priority="3" stopIfTrue="1">
      <formula>OR($U11="elevpause",)</formula>
    </cfRule>
    <cfRule type="expression" dxfId="869" priority="4" stopIfTrue="1">
      <formula>OR($U11="Lektion",)</formula>
    </cfRule>
  </conditionalFormatting>
  <conditionalFormatting sqref="Y11:AC29">
    <cfRule type="expression" dxfId="868" priority="31">
      <formula>OR($V11&gt;0,)</formula>
    </cfRule>
  </conditionalFormatting>
  <conditionalFormatting sqref="AE11:AE29">
    <cfRule type="expression" dxfId="867" priority="9" stopIfTrue="1">
      <formula>OR($AE11="Elevpause",)</formula>
    </cfRule>
    <cfRule type="expression" dxfId="866" priority="8">
      <formula>OR($AE11="Lektion",)</formula>
    </cfRule>
  </conditionalFormatting>
  <conditionalFormatting sqref="AG11:AH29">
    <cfRule type="expression" dxfId="865" priority="2" stopIfTrue="1">
      <formula>OR($AE11="Lektion",)</formula>
    </cfRule>
    <cfRule type="expression" dxfId="864" priority="1" stopIfTrue="1">
      <formula>OR($AE11="elevpause",)</formula>
    </cfRule>
  </conditionalFormatting>
  <conditionalFormatting sqref="AI11:AM29">
    <cfRule type="expression" dxfId="863" priority="30">
      <formula>OR($AF11&gt;0,)</formula>
    </cfRule>
  </conditionalFormatting>
  <dataValidations count="4">
    <dataValidation type="list" allowBlank="1" showInputMessage="1" showErrorMessage="1" sqref="K5:S5 A5:I5 AE5:AM5" xr:uid="{F131008B-2AC7-DE42-9ECB-47DE2A973D85}">
      <formula1>$AO$5:$AO$9</formula1>
    </dataValidation>
    <dataValidation type="list" allowBlank="1" showInputMessage="1" showErrorMessage="1" sqref="U5:AC5" xr:uid="{D2691C8E-12C1-D14D-A735-E94A498CBB42}">
      <formula1>AO5:AO9</formula1>
    </dataValidation>
    <dataValidation type="list" allowBlank="1" showInputMessage="1" showErrorMessage="1" sqref="G46:H90" xr:uid="{B959E193-F64B-2646-AE0E-B939BAAB1791}">
      <formula1>$K$43:$V$43</formula1>
    </dataValidation>
    <dataValidation type="list" allowBlank="1" showInputMessage="1" showErrorMessage="1" sqref="K11:K29 U11:U29 AE11:AE29 A11:A29" xr:uid="{F24F6DD9-BA1C-B04C-881C-BBD62102F27E}">
      <formula1>$C$2:$C$3</formula1>
    </dataValidation>
  </dataValidations>
  <pageMargins left="0.7" right="0.7" top="0.75" bottom="0.75" header="0.3" footer="0.3"/>
  <pageSetup paperSize="9" scale="58" fitToWidth="4" orientation="portrait" horizontalDpi="0" verticalDpi="0"/>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F902-9C08-0940-9528-77BF3E593890}">
  <sheetPr>
    <tabColor theme="4" tint="-0.249977111117893"/>
    <pageSetUpPr fitToPage="1"/>
  </sheetPr>
  <dimension ref="A1:DN139"/>
  <sheetViews>
    <sheetView zoomScaleNormal="100" workbookViewId="0">
      <selection activeCell="U38" sqref="U3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2" width="28" hidden="1" customWidth="1"/>
    <col min="113" max="117" width="10.83203125" hidden="1" customWidth="1"/>
    <col min="118" max="118" width="31.1640625" hidden="1" customWidth="1"/>
  </cols>
  <sheetData>
    <row r="1" spans="1:118" ht="16" customHeight="1">
      <c r="A1" s="376" t="e">
        <f>#REF!</f>
        <v>#REF!</v>
      </c>
      <c r="B1" s="94"/>
      <c r="C1" s="94"/>
      <c r="D1" s="94"/>
      <c r="E1" s="94"/>
      <c r="F1" s="94"/>
      <c r="G1" s="94"/>
      <c r="H1" s="292"/>
      <c r="I1" s="291"/>
      <c r="J1" s="94"/>
      <c r="K1" s="234"/>
      <c r="L1" s="234"/>
      <c r="M1" s="234"/>
      <c r="N1" s="234"/>
      <c r="O1" s="234"/>
      <c r="P1" s="94"/>
      <c r="Q1" s="94"/>
      <c r="R1" s="94"/>
      <c r="S1" s="94"/>
      <c r="T1" s="94"/>
      <c r="U1" s="94"/>
      <c r="V1" s="94"/>
      <c r="W1" s="94"/>
      <c r="Y1" s="251"/>
      <c r="Z1" s="94"/>
      <c r="AB1" s="94"/>
      <c r="AC1" s="94"/>
      <c r="AH1" s="94"/>
      <c r="AI1" s="94"/>
      <c r="CX1" s="253"/>
      <c r="CZ1"/>
    </row>
    <row r="2" spans="1:118" ht="128" customHeight="1">
      <c r="A2" s="924">
        <v>8</v>
      </c>
      <c r="B2" s="924"/>
      <c r="C2" s="924"/>
      <c r="D2" s="924"/>
      <c r="E2" s="794" t="s">
        <v>495</v>
      </c>
      <c r="F2" s="794"/>
      <c r="G2" s="794"/>
      <c r="H2" s="794"/>
      <c r="I2" s="794"/>
      <c r="J2" s="794"/>
      <c r="K2" s="794"/>
      <c r="L2" s="794"/>
      <c r="M2" s="794"/>
      <c r="N2" s="794"/>
      <c r="O2" s="794"/>
      <c r="P2" s="94"/>
      <c r="Q2" s="94"/>
      <c r="R2" s="94"/>
      <c r="S2" s="94"/>
      <c r="T2" s="94"/>
      <c r="U2" s="94"/>
      <c r="V2" s="94"/>
      <c r="W2" s="127" t="s">
        <v>31</v>
      </c>
      <c r="X2" s="94"/>
      <c r="Y2" s="251"/>
      <c r="Z2" s="94"/>
      <c r="AB2" s="94"/>
      <c r="AC2" s="94"/>
      <c r="AH2" s="94"/>
      <c r="AI2" s="94"/>
      <c r="CX2" s="253"/>
      <c r="CZ2"/>
    </row>
    <row r="3" spans="1:118" ht="87" customHeight="1" thickBot="1">
      <c r="A3" s="924"/>
      <c r="B3" s="924"/>
      <c r="C3" s="924"/>
      <c r="D3" s="924"/>
      <c r="E3" s="794" t="s">
        <v>613</v>
      </c>
      <c r="F3" s="794"/>
      <c r="G3" s="794"/>
      <c r="H3" s="794"/>
      <c r="I3" s="794"/>
      <c r="J3" s="794"/>
      <c r="K3" s="794"/>
      <c r="L3" s="794"/>
      <c r="M3" s="794"/>
      <c r="N3" s="794"/>
      <c r="O3" s="794"/>
      <c r="P3" s="94"/>
      <c r="Q3" s="94"/>
      <c r="R3" s="94"/>
      <c r="S3" s="94"/>
      <c r="T3" s="94"/>
      <c r="U3" s="94"/>
      <c r="V3" s="94"/>
      <c r="W3" s="127"/>
      <c r="X3" s="127"/>
      <c r="Y3" s="251"/>
      <c r="Z3" s="94"/>
      <c r="AB3" s="94"/>
      <c r="AC3" s="94"/>
      <c r="AH3" s="94"/>
      <c r="AI3" s="94"/>
      <c r="CX3" s="253"/>
      <c r="CZ3"/>
    </row>
    <row r="4" spans="1:118">
      <c r="A4" s="925" t="s">
        <v>316</v>
      </c>
      <c r="B4" s="926"/>
      <c r="C4" s="926"/>
      <c r="D4" s="926"/>
      <c r="E4" s="926"/>
      <c r="F4" s="926"/>
      <c r="G4" s="926"/>
      <c r="H4" s="926"/>
      <c r="I4" s="926"/>
      <c r="J4" s="926"/>
      <c r="K4" s="926"/>
      <c r="L4" s="926"/>
      <c r="M4" s="926"/>
      <c r="N4" s="926"/>
      <c r="O4" s="926"/>
      <c r="P4" s="926"/>
      <c r="Q4" s="926"/>
      <c r="R4" s="926"/>
      <c r="S4" s="926"/>
      <c r="T4" s="926"/>
      <c r="U4" s="926"/>
      <c r="V4" s="926"/>
      <c r="W4" s="926"/>
      <c r="X4" s="927"/>
      <c r="Y4"/>
      <c r="Z4" s="94"/>
      <c r="AA4" s="94"/>
      <c r="AE4" s="94"/>
      <c r="AF4" s="94"/>
      <c r="AG4" s="94"/>
      <c r="CV4" s="253"/>
      <c r="CW4" s="253"/>
      <c r="CY4"/>
      <c r="CZ4"/>
    </row>
    <row r="5" spans="1:118" ht="254" thickBot="1">
      <c r="A5" s="921" t="s">
        <v>463</v>
      </c>
      <c r="B5" s="922"/>
      <c r="C5" s="922"/>
      <c r="D5" s="922"/>
      <c r="E5" s="923" t="s">
        <v>317</v>
      </c>
      <c r="F5" s="923"/>
      <c r="G5" s="923"/>
      <c r="H5" s="293" t="s">
        <v>442</v>
      </c>
      <c r="I5" s="468" t="s">
        <v>511</v>
      </c>
      <c r="J5" s="468" t="s">
        <v>512</v>
      </c>
      <c r="K5" s="933" t="s">
        <v>579</v>
      </c>
      <c r="L5" s="933"/>
      <c r="M5" s="533" t="s">
        <v>499</v>
      </c>
      <c r="N5" s="533" t="s">
        <v>464</v>
      </c>
      <c r="O5" s="533" t="s">
        <v>465</v>
      </c>
      <c r="P5" s="534" t="s">
        <v>500</v>
      </c>
      <c r="Q5" s="534" t="s">
        <v>315</v>
      </c>
      <c r="R5" s="534" t="s">
        <v>466</v>
      </c>
      <c r="S5" s="535" t="s">
        <v>509</v>
      </c>
      <c r="T5" s="535" t="s">
        <v>467</v>
      </c>
      <c r="U5" s="535" t="s">
        <v>468</v>
      </c>
      <c r="V5" s="536" t="s">
        <v>501</v>
      </c>
      <c r="W5" s="536" t="s">
        <v>427</v>
      </c>
      <c r="X5" s="537" t="s">
        <v>426</v>
      </c>
      <c r="Y5" s="251"/>
      <c r="Z5" s="94"/>
      <c r="AB5" s="94"/>
      <c r="AC5" s="94"/>
      <c r="AH5" s="94"/>
      <c r="AI5" s="94"/>
      <c r="CX5" s="253"/>
      <c r="CZ5"/>
    </row>
    <row r="6" spans="1:118" ht="26" thickBot="1">
      <c r="A6" s="934" t="str">
        <f>""&amp;A8&amp;" måneds kalender for: "&amp;Stamoplysninger!E8&amp;". Måneden vedr. normperioden: "&amp;Stamoplysninger!E11&amp;" - "&amp;Stamoplysninger!G11&amp;"."</f>
        <v>August måneds kalender for: . Måneden vedr. normperioden:  - .</v>
      </c>
      <c r="B6" s="935"/>
      <c r="C6" s="935"/>
      <c r="D6" s="935"/>
      <c r="E6" s="935"/>
      <c r="F6" s="935"/>
      <c r="G6" s="935"/>
      <c r="H6" s="935"/>
      <c r="I6" s="935"/>
      <c r="J6" s="935"/>
      <c r="K6" s="935"/>
      <c r="L6" s="935"/>
      <c r="M6" s="935"/>
      <c r="N6" s="935"/>
      <c r="O6" s="935"/>
      <c r="P6" s="935"/>
      <c r="Q6" s="935"/>
      <c r="R6" s="935"/>
      <c r="S6" s="928" t="s">
        <v>312</v>
      </c>
      <c r="T6" s="929"/>
      <c r="U6" s="929"/>
      <c r="V6" s="929"/>
      <c r="W6" s="929"/>
      <c r="X6" s="930"/>
      <c r="Y6" s="251"/>
      <c r="Z6" s="94"/>
      <c r="AB6" s="94"/>
      <c r="AC6" s="94"/>
      <c r="AH6" s="94"/>
      <c r="AI6" s="94"/>
      <c r="CX6" s="253"/>
      <c r="CZ6"/>
    </row>
    <row r="7" spans="1:118" ht="47" customHeight="1">
      <c r="A7" s="346">
        <v>2023</v>
      </c>
      <c r="B7" s="246"/>
      <c r="C7" s="247"/>
      <c r="D7" s="248"/>
      <c r="E7" s="941" t="s">
        <v>516</v>
      </c>
      <c r="F7" s="942"/>
      <c r="G7" s="943"/>
      <c r="H7" s="343" t="s">
        <v>344</v>
      </c>
      <c r="I7" s="912" t="s">
        <v>510</v>
      </c>
      <c r="J7" s="939" t="s">
        <v>535</v>
      </c>
      <c r="K7" s="936" t="s">
        <v>309</v>
      </c>
      <c r="L7" s="937"/>
      <c r="M7" s="344" t="s">
        <v>310</v>
      </c>
      <c r="N7" s="912" t="s">
        <v>478</v>
      </c>
      <c r="O7" s="912" t="s">
        <v>314</v>
      </c>
      <c r="P7" s="912" t="s">
        <v>498</v>
      </c>
      <c r="Q7" s="912" t="s">
        <v>413</v>
      </c>
      <c r="R7" s="919" t="s">
        <v>580</v>
      </c>
      <c r="S7" s="913" t="s">
        <v>311</v>
      </c>
      <c r="T7" s="914"/>
      <c r="U7" s="914"/>
      <c r="V7" s="914"/>
      <c r="W7" s="914"/>
      <c r="X7" s="915"/>
      <c r="Y7" s="216"/>
      <c r="Z7" s="216"/>
      <c r="AA7" s="909" t="s">
        <v>264</v>
      </c>
      <c r="AB7" s="909"/>
      <c r="AC7" s="909"/>
      <c r="AD7" s="909"/>
      <c r="AE7" s="909"/>
      <c r="AF7" s="213"/>
      <c r="AG7" s="909" t="s">
        <v>225</v>
      </c>
      <c r="AH7" s="909"/>
      <c r="AI7" s="909"/>
      <c r="AJ7" s="909"/>
      <c r="AK7" s="909"/>
      <c r="AL7" s="909" t="s">
        <v>226</v>
      </c>
      <c r="AM7" s="909"/>
      <c r="AN7" s="909"/>
      <c r="AO7" s="909"/>
      <c r="AP7" s="909"/>
      <c r="AQ7" s="909" t="s">
        <v>227</v>
      </c>
      <c r="AR7" s="909"/>
      <c r="AS7" s="909"/>
      <c r="AT7" s="909"/>
      <c r="AU7" s="909"/>
      <c r="AV7" s="909" t="s">
        <v>228</v>
      </c>
      <c r="AW7" s="909"/>
      <c r="AX7" s="909"/>
      <c r="AY7" s="909"/>
      <c r="AZ7" s="909"/>
      <c r="BA7" s="314"/>
      <c r="BB7" s="213"/>
      <c r="BC7" s="909" t="s">
        <v>267</v>
      </c>
      <c r="BD7" s="909"/>
      <c r="BE7" s="909"/>
      <c r="BF7" s="909"/>
      <c r="BG7" s="909" t="s">
        <v>230</v>
      </c>
      <c r="BH7" s="909"/>
      <c r="BI7" s="909"/>
      <c r="BJ7" s="909"/>
      <c r="BK7" s="909"/>
      <c r="BL7" s="909" t="s">
        <v>231</v>
      </c>
      <c r="BM7" s="909"/>
      <c r="BN7" s="909"/>
      <c r="BO7" s="909"/>
      <c r="BP7" s="909"/>
      <c r="BQ7" s="909" t="s">
        <v>232</v>
      </c>
      <c r="BR7" s="909"/>
      <c r="BS7" s="909"/>
      <c r="BT7" s="909"/>
      <c r="BU7" s="909"/>
      <c r="BV7" s="909" t="s">
        <v>233</v>
      </c>
      <c r="BW7" s="909"/>
      <c r="BX7" s="909"/>
      <c r="BY7" s="909"/>
      <c r="BZ7" s="909"/>
      <c r="CD7" s="909" t="s">
        <v>268</v>
      </c>
      <c r="CE7" s="909"/>
      <c r="CF7" s="909"/>
      <c r="CG7" s="909"/>
      <c r="CH7" s="909"/>
      <c r="CI7" s="909" t="s">
        <v>270</v>
      </c>
      <c r="CJ7" s="909"/>
      <c r="CK7" s="909"/>
      <c r="CL7" s="909"/>
      <c r="CM7" s="909"/>
      <c r="CN7" s="909" t="s">
        <v>269</v>
      </c>
      <c r="CO7" s="909"/>
      <c r="CP7" s="909"/>
      <c r="CQ7" s="909"/>
      <c r="CR7" s="909"/>
      <c r="CS7" s="909" t="s">
        <v>271</v>
      </c>
      <c r="CT7" s="909"/>
      <c r="CU7" s="909"/>
      <c r="CV7" s="909"/>
      <c r="CW7" s="909"/>
      <c r="CX7" s="253"/>
      <c r="CZ7"/>
      <c r="DA7" s="682" t="s">
        <v>215</v>
      </c>
      <c r="DB7" s="682"/>
      <c r="DC7" s="682"/>
      <c r="DD7" s="682"/>
      <c r="DE7" s="682"/>
    </row>
    <row r="8" spans="1:118" ht="160" customHeight="1">
      <c r="A8" s="828" t="s">
        <v>237</v>
      </c>
      <c r="B8" s="829"/>
      <c r="C8" s="829"/>
      <c r="D8" s="830"/>
      <c r="E8" s="944"/>
      <c r="F8" s="945"/>
      <c r="G8" s="946"/>
      <c r="H8" s="910" t="s">
        <v>534</v>
      </c>
      <c r="I8" s="938"/>
      <c r="J8" s="940"/>
      <c r="K8" s="345" t="s">
        <v>581</v>
      </c>
      <c r="L8" s="345" t="s">
        <v>582</v>
      </c>
      <c r="M8" s="345" t="s">
        <v>583</v>
      </c>
      <c r="N8" s="911"/>
      <c r="O8" s="911"/>
      <c r="P8" s="911"/>
      <c r="Q8" s="911"/>
      <c r="R8" s="920"/>
      <c r="S8" s="539" t="s">
        <v>508</v>
      </c>
      <c r="T8" s="344" t="s">
        <v>313</v>
      </c>
      <c r="U8" s="344" t="s">
        <v>428</v>
      </c>
      <c r="V8" s="475" t="s">
        <v>470</v>
      </c>
      <c r="W8" s="475" t="s">
        <v>469</v>
      </c>
      <c r="X8" s="476" t="s">
        <v>425</v>
      </c>
      <c r="Y8" s="216" t="s">
        <v>282</v>
      </c>
      <c r="Z8" s="216" t="s">
        <v>283</v>
      </c>
      <c r="AA8" s="316" t="s">
        <v>214</v>
      </c>
      <c r="AB8" t="s">
        <v>137</v>
      </c>
      <c r="AC8" t="s">
        <v>140</v>
      </c>
      <c r="AD8" t="s">
        <v>139</v>
      </c>
      <c r="AE8" t="s">
        <v>138</v>
      </c>
      <c r="AF8" t="s">
        <v>444</v>
      </c>
      <c r="AG8" t="s">
        <v>34</v>
      </c>
      <c r="AH8" t="s">
        <v>35</v>
      </c>
      <c r="AI8" t="s">
        <v>36</v>
      </c>
      <c r="AJ8" t="s">
        <v>37</v>
      </c>
      <c r="AK8" t="s">
        <v>38</v>
      </c>
      <c r="AL8" t="s">
        <v>34</v>
      </c>
      <c r="AM8" t="s">
        <v>35</v>
      </c>
      <c r="AN8" t="s">
        <v>36</v>
      </c>
      <c r="AO8" t="s">
        <v>37</v>
      </c>
      <c r="AP8" t="s">
        <v>38</v>
      </c>
      <c r="AQ8" t="s">
        <v>34</v>
      </c>
      <c r="AR8" t="s">
        <v>35</v>
      </c>
      <c r="AS8" t="s">
        <v>36</v>
      </c>
      <c r="AT8" t="s">
        <v>37</v>
      </c>
      <c r="AU8" t="s">
        <v>38</v>
      </c>
      <c r="AV8" t="s">
        <v>34</v>
      </c>
      <c r="AW8" t="s">
        <v>35</v>
      </c>
      <c r="AX8" t="s">
        <v>36</v>
      </c>
      <c r="AY8" t="s">
        <v>37</v>
      </c>
      <c r="AZ8" t="s">
        <v>38</v>
      </c>
      <c r="BA8" t="s">
        <v>229</v>
      </c>
      <c r="BB8" s="232" t="s">
        <v>216</v>
      </c>
      <c r="BC8" t="s">
        <v>266</v>
      </c>
      <c r="BD8" t="s">
        <v>265</v>
      </c>
      <c r="BE8" t="s">
        <v>251</v>
      </c>
      <c r="BF8" t="s">
        <v>252</v>
      </c>
      <c r="BG8" t="s">
        <v>34</v>
      </c>
      <c r="BH8" t="s">
        <v>35</v>
      </c>
      <c r="BI8" t="s">
        <v>36</v>
      </c>
      <c r="BJ8" t="s">
        <v>37</v>
      </c>
      <c r="BK8" t="s">
        <v>38</v>
      </c>
      <c r="BL8" t="s">
        <v>34</v>
      </c>
      <c r="BM8" t="s">
        <v>35</v>
      </c>
      <c r="BN8" t="s">
        <v>36</v>
      </c>
      <c r="BO8" t="s">
        <v>37</v>
      </c>
      <c r="BP8" t="s">
        <v>38</v>
      </c>
      <c r="BQ8" t="s">
        <v>34</v>
      </c>
      <c r="BR8" t="s">
        <v>35</v>
      </c>
      <c r="BS8" t="s">
        <v>36</v>
      </c>
      <c r="BT8" t="s">
        <v>37</v>
      </c>
      <c r="BU8" t="s">
        <v>38</v>
      </c>
      <c r="BV8" t="s">
        <v>34</v>
      </c>
      <c r="BW8" t="s">
        <v>35</v>
      </c>
      <c r="BX8" t="s">
        <v>36</v>
      </c>
      <c r="BY8" t="s">
        <v>37</v>
      </c>
      <c r="BZ8" t="s">
        <v>38</v>
      </c>
      <c r="CA8" s="116" t="s">
        <v>234</v>
      </c>
      <c r="CB8" s="238" t="s">
        <v>254</v>
      </c>
      <c r="CC8" s="316" t="s">
        <v>255</v>
      </c>
      <c r="CD8" t="s">
        <v>34</v>
      </c>
      <c r="CE8" t="s">
        <v>35</v>
      </c>
      <c r="CF8" t="s">
        <v>36</v>
      </c>
      <c r="CG8" t="s">
        <v>37</v>
      </c>
      <c r="CH8" t="s">
        <v>38</v>
      </c>
      <c r="CI8" t="s">
        <v>34</v>
      </c>
      <c r="CJ8" t="s">
        <v>35</v>
      </c>
      <c r="CK8" t="s">
        <v>36</v>
      </c>
      <c r="CL8" t="s">
        <v>37</v>
      </c>
      <c r="CM8" t="s">
        <v>38</v>
      </c>
      <c r="CN8" t="s">
        <v>34</v>
      </c>
      <c r="CO8" t="s">
        <v>35</v>
      </c>
      <c r="CP8" t="s">
        <v>36</v>
      </c>
      <c r="CQ8" t="s">
        <v>37</v>
      </c>
      <c r="CR8" t="s">
        <v>38</v>
      </c>
      <c r="CS8" t="s">
        <v>34</v>
      </c>
      <c r="CT8" t="s">
        <v>35</v>
      </c>
      <c r="CU8" t="s">
        <v>36</v>
      </c>
      <c r="CV8" t="s">
        <v>37</v>
      </c>
      <c r="CW8" t="s">
        <v>38</v>
      </c>
      <c r="CX8" s="253" t="s">
        <v>280</v>
      </c>
      <c r="CY8" s="253" t="s">
        <v>272</v>
      </c>
      <c r="CZ8" s="253" t="s">
        <v>273</v>
      </c>
      <c r="DA8" s="253" t="s">
        <v>274</v>
      </c>
      <c r="DB8" s="253" t="s">
        <v>275</v>
      </c>
      <c r="DC8" s="253" t="s">
        <v>276</v>
      </c>
      <c r="DD8" s="253" t="s">
        <v>277</v>
      </c>
      <c r="DE8" s="253" t="s">
        <v>278</v>
      </c>
      <c r="DF8" s="253" t="s">
        <v>279</v>
      </c>
      <c r="DG8" s="253"/>
    </row>
    <row r="9" spans="1:118" ht="20" customHeight="1">
      <c r="A9" s="831"/>
      <c r="B9" s="832"/>
      <c r="C9" s="832"/>
      <c r="D9" s="833"/>
      <c r="E9" s="947"/>
      <c r="F9" s="948"/>
      <c r="G9" s="949"/>
      <c r="H9" s="911"/>
      <c r="I9" s="931" t="s">
        <v>409</v>
      </c>
      <c r="J9" s="918"/>
      <c r="K9" s="931" t="s">
        <v>346</v>
      </c>
      <c r="L9" s="917"/>
      <c r="M9" s="917"/>
      <c r="N9" s="917"/>
      <c r="O9" s="917"/>
      <c r="P9" s="917"/>
      <c r="Q9" s="917"/>
      <c r="R9" s="917"/>
      <c r="S9" s="916" t="s">
        <v>409</v>
      </c>
      <c r="T9" s="917"/>
      <c r="U9" s="918"/>
      <c r="V9" s="931" t="s">
        <v>410</v>
      </c>
      <c r="W9" s="917"/>
      <c r="X9" s="932"/>
      <c r="Y9" s="216"/>
      <c r="Z9" s="216"/>
      <c r="AA9" s="316"/>
      <c r="BB9" s="232"/>
      <c r="CA9" s="116"/>
      <c r="CB9" s="238"/>
      <c r="CC9" s="316"/>
      <c r="CX9" s="253"/>
      <c r="DA9" s="253"/>
      <c r="DB9" s="253"/>
      <c r="DC9" s="253"/>
      <c r="DD9" s="253"/>
      <c r="DE9" s="253"/>
      <c r="DF9" s="253"/>
      <c r="DG9" s="253"/>
      <c r="DH9" t="s">
        <v>543</v>
      </c>
      <c r="DI9" t="s">
        <v>544</v>
      </c>
      <c r="DJ9" t="s">
        <v>545</v>
      </c>
    </row>
    <row r="10" spans="1:118">
      <c r="A10" s="249">
        <f>IF(ISNUMBER(A8),A8+1,1)</f>
        <v>1</v>
      </c>
      <c r="B10" s="132" t="str">
        <f t="shared" ref="B10:B40" si="0">CHOOSE(MOD(WEEKDAY(DATE(A$7,A$2,A10)),7)+1,"lø","sø","ma","ti","on","to","fr",)</f>
        <v>ti</v>
      </c>
      <c r="C10" s="133" t="s">
        <v>213</v>
      </c>
      <c r="D10" s="134" t="str">
        <f t="shared" ref="D10:D40" si="1">IF(B10="ma",(DATE(A$7,A$2,A10)-DATE(A$7,1,1)+7)/7,"")</f>
        <v/>
      </c>
      <c r="E10" s="871" t="s">
        <v>114</v>
      </c>
      <c r="F10" s="872"/>
      <c r="G10" s="873"/>
      <c r="H10" s="313"/>
      <c r="I10" s="582"/>
      <c r="J10" s="440"/>
      <c r="K10" s="405"/>
      <c r="L10" s="405"/>
      <c r="M10" s="405"/>
      <c r="N10" s="334">
        <f>BA10</f>
        <v>0</v>
      </c>
      <c r="O10" s="334">
        <f>CA10</f>
        <v>0</v>
      </c>
      <c r="P10" s="334">
        <f>IF(Stamoplysninger!$H$29="JA",August!DG10,CX10)</f>
        <v>0</v>
      </c>
      <c r="Q10" s="334">
        <f>IF(OR(C10="Lejrskole",C10="Ekskursion"),0,N10-O10-P10)</f>
        <v>0</v>
      </c>
      <c r="R10" s="439"/>
      <c r="S10" s="341"/>
      <c r="T10" s="342"/>
      <c r="U10" s="342"/>
      <c r="V10" s="336"/>
      <c r="W10" s="472"/>
      <c r="X10" s="337"/>
      <c r="Y10">
        <f>IF($S$10="x",V10-N10,0)</f>
        <v>0</v>
      </c>
      <c r="Z10">
        <f t="shared" ref="Z10:Z40" si="2">IF(T10="x",W10-O10,0)</f>
        <v>0</v>
      </c>
      <c r="AA10" s="1">
        <f t="shared" ref="AA10:AA40" si="3">IF(C10="emnedag",K10,0)</f>
        <v>0</v>
      </c>
      <c r="AB10" s="1">
        <f t="shared" ref="AB10:AB40" si="4">IF(C10="fagdag",K10,0)</f>
        <v>0</v>
      </c>
      <c r="AC10" s="1">
        <f t="shared" ref="AC10:AC40" si="5">IF(C10="Pæd.dag",K10,0)</f>
        <v>0</v>
      </c>
      <c r="AD10" s="1">
        <f t="shared" ref="AD10:AD40" si="6">IF(C10="Ekskursion",K10,0)</f>
        <v>0</v>
      </c>
      <c r="AE10" s="1">
        <f t="shared" ref="AE10:AE40" si="7">IF(C10="Lejrskole",K10,0)</f>
        <v>0</v>
      </c>
      <c r="AF10" s="1">
        <f>IF(C10="Orlov",Stamoplysninger!$E$15*7.4,0)</f>
        <v>0</v>
      </c>
      <c r="AG10" t="str">
        <f>IF(AND(C10="Skema 1",B10="ma"),Arbejdstidsoversigt!$E$44,"")</f>
        <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40" si="8">SUM(AA10:AZ10)</f>
        <v>0</v>
      </c>
      <c r="BB10" s="233">
        <f t="shared" ref="BB10:BB40" si="9">SUM(AG10:AK10)*24</f>
        <v>0</v>
      </c>
      <c r="BC10" s="1">
        <f>IF($C$10="Lejrskole",$L$10,0)</f>
        <v>0</v>
      </c>
      <c r="BD10" s="1">
        <f t="shared" ref="BD10:BD40" si="10">IF(C10="Ekskursion",L10,0)</f>
        <v>0</v>
      </c>
      <c r="BE10" s="1">
        <f t="shared" ref="BE10:BE40" si="11">IF(C10="fagdag",L10,0)</f>
        <v>0</v>
      </c>
      <c r="BF10" s="1">
        <f t="shared" ref="BF10:BF40" si="12">IF(C10="emnedag",L10,0)</f>
        <v>0</v>
      </c>
      <c r="BG10" s="214" t="str">
        <f>IF(AND($C$10="Skema 1",$B$10="ma"),Skemaoplysninger!E30,"")</f>
        <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SUM(BG10:BZ10)*24+SUM(BC10:BF10)</f>
        <v>0</v>
      </c>
      <c r="CB10" s="1">
        <f t="shared" ref="CB10:CB40" si="13">IF(C10="fagdag",M10,0)</f>
        <v>0</v>
      </c>
      <c r="CC10" s="1">
        <f t="shared" ref="CC10:CC40" si="14">IF(C10="emnedag",M10,0)</f>
        <v>0</v>
      </c>
      <c r="CD10" s="214" t="str">
        <f>IF(AND(C10="Skema 1",B10="ma"),Skemaoplysninger!$E$39,"")</f>
        <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2",B10="fr"),Skemaoplysninger!$S$650,"")</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SUM(CY10:DF10)</f>
        <v>0</v>
      </c>
      <c r="DH10" t="str">
        <f>IF(AND(E10&gt;0,H10&gt;0),""&amp;E10&amp;" og "&amp;H10&amp;"","")</f>
        <v/>
      </c>
      <c r="DI10" t="str">
        <f>IF(H10="",E10,"")</f>
        <v>Sommerferie</v>
      </c>
      <c r="DJ10" t="str">
        <f>IF(E10="",H10,"")</f>
        <v/>
      </c>
      <c r="DK10" t="str">
        <f t="shared" ref="DK10:DL41" si="15">IF(DH10=0,"",DH10)</f>
        <v/>
      </c>
      <c r="DL10" t="str">
        <f>IF(DI10=0,"",DI10)</f>
        <v>Sommerferie</v>
      </c>
      <c r="DM10" t="str">
        <f>IF(DJ10=0,"",DJ10)</f>
        <v/>
      </c>
      <c r="DN10" t="str">
        <f>DK10&amp;""&amp;DL10&amp;""&amp;DM10</f>
        <v>Sommerferie</v>
      </c>
    </row>
    <row r="11" spans="1:118">
      <c r="A11" s="249">
        <f t="shared" ref="A11:A39" si="16">IF(ISNUMBER(A10),A10+1,1)</f>
        <v>2</v>
      </c>
      <c r="B11" s="132" t="str">
        <f t="shared" si="0"/>
        <v>on</v>
      </c>
      <c r="C11" s="133" t="s">
        <v>213</v>
      </c>
      <c r="D11" s="134" t="str">
        <f t="shared" si="1"/>
        <v/>
      </c>
      <c r="E11" s="871" t="s">
        <v>114</v>
      </c>
      <c r="F11" s="872"/>
      <c r="G11" s="873"/>
      <c r="H11" s="313"/>
      <c r="I11" s="582"/>
      <c r="J11" s="440"/>
      <c r="K11" s="405"/>
      <c r="L11" s="405"/>
      <c r="M11" s="405"/>
      <c r="N11" s="334">
        <f t="shared" ref="N11:N40" si="17">BA11</f>
        <v>0</v>
      </c>
      <c r="O11" s="334">
        <f t="shared" ref="O11:O40" si="18">CA11</f>
        <v>0</v>
      </c>
      <c r="P11" s="334">
        <f>IF(Stamoplysninger!$H$29="JA",August!DG11,CX11)</f>
        <v>0</v>
      </c>
      <c r="Q11" s="334">
        <f t="shared" ref="Q11:Q40" si="19">IF(OR(C11="Lejrskole",C11="Ekskursion"),0,N11-O11-P11)</f>
        <v>0</v>
      </c>
      <c r="R11" s="439"/>
      <c r="S11" s="341"/>
      <c r="T11" s="342"/>
      <c r="U11" s="342"/>
      <c r="V11" s="336"/>
      <c r="W11" s="472"/>
      <c r="X11" s="337"/>
      <c r="Y11">
        <f t="shared" ref="Y11:Y40" si="20">IF(S11="x",V11-N11,0)</f>
        <v>0</v>
      </c>
      <c r="Z11">
        <f t="shared" si="2"/>
        <v>0</v>
      </c>
      <c r="AA11" s="1">
        <f t="shared" si="3"/>
        <v>0</v>
      </c>
      <c r="AB11" s="1">
        <f t="shared" si="4"/>
        <v>0</v>
      </c>
      <c r="AC11" s="1">
        <f t="shared" si="5"/>
        <v>0</v>
      </c>
      <c r="AD11" s="1">
        <f t="shared" si="6"/>
        <v>0</v>
      </c>
      <c r="AE11" s="1">
        <f t="shared" si="7"/>
        <v>0</v>
      </c>
      <c r="AF11" s="1">
        <f>IF(C11="Orlov",Stamoplysninger!$E$15*7.4,0)</f>
        <v>0</v>
      </c>
      <c r="AG11" t="str">
        <f>IF(AND(C11="Skema 1",B11="ma"),Arbejdstidsoversigt!$E$44,"")</f>
        <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8"/>
        <v>0</v>
      </c>
      <c r="BB11" s="233">
        <f t="shared" si="9"/>
        <v>0</v>
      </c>
      <c r="BC11" s="1">
        <f t="shared" ref="BC11:BC40" si="21">IF(C11="Lejrskole",L11,0)</f>
        <v>0</v>
      </c>
      <c r="BD11" s="1">
        <f t="shared" si="10"/>
        <v>0</v>
      </c>
      <c r="BE11" s="1">
        <f t="shared" si="11"/>
        <v>0</v>
      </c>
      <c r="BF11" s="1">
        <f t="shared" si="12"/>
        <v>0</v>
      </c>
      <c r="BG11" s="214" t="str">
        <f>IF(AND(C11="Skema 1",B11="ma"),Skemaoplysninger!$E$30,"")</f>
        <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ref="CA11:CA40" si="22">SUM(BG11:BZ11)*24+SUM(BC11:BF11)</f>
        <v>0</v>
      </c>
      <c r="CB11" s="1">
        <f t="shared" si="13"/>
        <v>0</v>
      </c>
      <c r="CC11" s="1">
        <f t="shared" si="14"/>
        <v>0</v>
      </c>
      <c r="CD11" s="214" t="str">
        <f>IF(AND(C11="Skema 1",B11="ma"),Skemaoplysninger!$E$39,"")</f>
        <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2",B11="fr"),Skemaoplysninger!$S$650,"")</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ref="DG11:DG40" si="23">SUM(CY11:DF11)</f>
        <v>0</v>
      </c>
      <c r="DH11" t="str">
        <f t="shared" ref="DH11:DH40" si="24">IF(AND(E11&gt;0,H11&gt;0),""&amp;E11&amp;" og "&amp;H11&amp;"","")</f>
        <v/>
      </c>
      <c r="DI11" t="str">
        <f t="shared" ref="DI11:DI40" si="25">IF(H11="",E11,"")</f>
        <v>Sommerferie</v>
      </c>
      <c r="DJ11" t="str">
        <f t="shared" ref="DJ11:DJ40" si="26">IF(E11="",H11,"")</f>
        <v/>
      </c>
      <c r="DK11" t="str">
        <f t="shared" si="15"/>
        <v/>
      </c>
      <c r="DL11" t="str">
        <f t="shared" si="15"/>
        <v>Sommerferie</v>
      </c>
      <c r="DM11" t="str">
        <f t="shared" ref="DM11:DM41" si="27">IF(DJ11=0,"",DJ11)</f>
        <v/>
      </c>
      <c r="DN11" t="str">
        <f t="shared" ref="DN11:DN40" si="28">DK11&amp;""&amp;DL11&amp;""&amp;DM11</f>
        <v>Sommerferie</v>
      </c>
    </row>
    <row r="12" spans="1:118">
      <c r="A12" s="249">
        <f t="shared" si="16"/>
        <v>3</v>
      </c>
      <c r="B12" s="132" t="str">
        <f t="shared" si="0"/>
        <v>to</v>
      </c>
      <c r="C12" s="133" t="s">
        <v>129</v>
      </c>
      <c r="D12" s="134" t="str">
        <f t="shared" si="1"/>
        <v/>
      </c>
      <c r="E12" s="871"/>
      <c r="F12" s="872"/>
      <c r="G12" s="873"/>
      <c r="H12" s="313"/>
      <c r="I12" s="582"/>
      <c r="J12" s="440"/>
      <c r="K12" s="405"/>
      <c r="L12" s="405"/>
      <c r="M12" s="405"/>
      <c r="N12" s="334">
        <f t="shared" si="17"/>
        <v>0</v>
      </c>
      <c r="O12" s="334">
        <f t="shared" si="18"/>
        <v>0</v>
      </c>
      <c r="P12" s="334">
        <f>IF(Stamoplysninger!$H$29="JA",August!DG12,CX12)</f>
        <v>0</v>
      </c>
      <c r="Q12" s="334">
        <f t="shared" si="19"/>
        <v>0</v>
      </c>
      <c r="R12" s="439"/>
      <c r="S12" s="341"/>
      <c r="T12" s="342"/>
      <c r="U12" s="342"/>
      <c r="V12" s="336"/>
      <c r="W12" s="472"/>
      <c r="X12" s="337"/>
      <c r="Y12">
        <f t="shared" si="20"/>
        <v>0</v>
      </c>
      <c r="Z12">
        <f t="shared" si="2"/>
        <v>0</v>
      </c>
      <c r="AA12" s="1">
        <f t="shared" si="3"/>
        <v>0</v>
      </c>
      <c r="AB12" s="1">
        <f t="shared" si="4"/>
        <v>0</v>
      </c>
      <c r="AC12" s="1">
        <f t="shared" si="5"/>
        <v>0</v>
      </c>
      <c r="AD12" s="1">
        <f t="shared" si="6"/>
        <v>0</v>
      </c>
      <c r="AE12" s="1">
        <f t="shared" si="7"/>
        <v>0</v>
      </c>
      <c r="AF12" s="1">
        <f>IF(C12="Orlov",Stamoplysninger!$E$15*7.4,0)</f>
        <v>0</v>
      </c>
      <c r="AG12" t="str">
        <f>IF(AND(C12="Skema 1",B12="ma"),Arbejdstidsoversigt!$E$44,"")</f>
        <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8"/>
        <v>0</v>
      </c>
      <c r="BB12" s="233">
        <f t="shared" si="9"/>
        <v>0</v>
      </c>
      <c r="BC12" s="1">
        <f t="shared" si="21"/>
        <v>0</v>
      </c>
      <c r="BD12" s="1">
        <f t="shared" si="10"/>
        <v>0</v>
      </c>
      <c r="BE12" s="1">
        <f t="shared" si="11"/>
        <v>0</v>
      </c>
      <c r="BF12" s="1">
        <f t="shared" si="12"/>
        <v>0</v>
      </c>
      <c r="BG12" s="214" t="str">
        <f>IF(AND(C12="Skema 1",B12="ma"),Skemaoplysninger!$E$30,"")</f>
        <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3"/>
        <v>0</v>
      </c>
      <c r="CC12" s="1">
        <f t="shared" si="14"/>
        <v>0</v>
      </c>
      <c r="CD12" s="214" t="str">
        <f>IF(AND(C12="Skema 1",B12="ma"),Skemaoplysninger!$E$39,"")</f>
        <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2",B12="fr"),Skemaoplysninger!$S$650,"")</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 t="shared" si="26"/>
        <v>0</v>
      </c>
      <c r="DK12" t="str">
        <f t="shared" si="15"/>
        <v/>
      </c>
      <c r="DL12" t="str">
        <f t="shared" si="15"/>
        <v/>
      </c>
      <c r="DM12" t="str">
        <f t="shared" si="27"/>
        <v/>
      </c>
      <c r="DN12" t="str">
        <f t="shared" si="28"/>
        <v/>
      </c>
    </row>
    <row r="13" spans="1:118">
      <c r="A13" s="249">
        <f t="shared" si="16"/>
        <v>4</v>
      </c>
      <c r="B13" s="132" t="str">
        <f t="shared" si="0"/>
        <v>fr</v>
      </c>
      <c r="C13" s="133" t="s">
        <v>129</v>
      </c>
      <c r="D13" s="134" t="str">
        <f t="shared" si="1"/>
        <v/>
      </c>
      <c r="E13" s="871"/>
      <c r="F13" s="872"/>
      <c r="G13" s="873"/>
      <c r="H13" s="313"/>
      <c r="I13" s="582"/>
      <c r="J13" s="440"/>
      <c r="K13" s="405"/>
      <c r="L13" s="405"/>
      <c r="M13" s="405"/>
      <c r="N13" s="334">
        <f t="shared" si="17"/>
        <v>0</v>
      </c>
      <c r="O13" s="334">
        <f t="shared" si="18"/>
        <v>0</v>
      </c>
      <c r="P13" s="334">
        <f>IF(Stamoplysninger!$H$29="JA",August!DG13,CX13)</f>
        <v>0</v>
      </c>
      <c r="Q13" s="334">
        <f t="shared" si="19"/>
        <v>0</v>
      </c>
      <c r="R13" s="439"/>
      <c r="S13" s="341"/>
      <c r="T13" s="342"/>
      <c r="U13" s="342"/>
      <c r="V13" s="336"/>
      <c r="W13" s="472"/>
      <c r="X13" s="337"/>
      <c r="Y13">
        <f t="shared" si="20"/>
        <v>0</v>
      </c>
      <c r="Z13">
        <f t="shared" si="2"/>
        <v>0</v>
      </c>
      <c r="AA13" s="1">
        <f t="shared" si="3"/>
        <v>0</v>
      </c>
      <c r="AB13" s="1">
        <f t="shared" si="4"/>
        <v>0</v>
      </c>
      <c r="AC13" s="1">
        <f t="shared" si="5"/>
        <v>0</v>
      </c>
      <c r="AD13" s="1">
        <f t="shared" si="6"/>
        <v>0</v>
      </c>
      <c r="AE13" s="1">
        <f t="shared" si="7"/>
        <v>0</v>
      </c>
      <c r="AF13" s="1">
        <f>IF(C13="Orlov",Stamoplysninger!$E$15*7.4,0)</f>
        <v>0</v>
      </c>
      <c r="AG13" t="str">
        <f>IF(AND(C13="Skema 1",B13="ma"),Arbejdstidsoversigt!$E$44,"")</f>
        <v/>
      </c>
      <c r="AH13" t="str">
        <f>IF(AND(C13="Skema 1",B13="ti"),Arbejdstidsoversigt!$E$45,"")</f>
        <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8"/>
        <v>0</v>
      </c>
      <c r="BB13" s="233">
        <f t="shared" si="9"/>
        <v>0</v>
      </c>
      <c r="BC13" s="1">
        <f t="shared" si="21"/>
        <v>0</v>
      </c>
      <c r="BD13" s="1">
        <f t="shared" si="10"/>
        <v>0</v>
      </c>
      <c r="BE13" s="1">
        <f t="shared" si="11"/>
        <v>0</v>
      </c>
      <c r="BF13" s="1">
        <f t="shared" si="12"/>
        <v>0</v>
      </c>
      <c r="BG13" s="214" t="str">
        <f>IF(AND(C13="Skema 1",B13="ma"),Skemaoplysninger!$E$30,"")</f>
        <v/>
      </c>
      <c r="BH13" s="214" t="str">
        <f>IF(AND(C13="Skema 1",B13="ti"),Skemaoplysninger!$F$30,"")</f>
        <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3"/>
        <v>0</v>
      </c>
      <c r="CC13" s="1">
        <f t="shared" si="14"/>
        <v>0</v>
      </c>
      <c r="CD13" s="214" t="str">
        <f>IF(AND(C13="Skema 1",B13="ma"),Skemaoplysninger!$E$39,"")</f>
        <v/>
      </c>
      <c r="CE13" s="214" t="str">
        <f>IF(AND(C13="Skema 1",B13="ti"),Skemaoplysninger!$F$39,"")</f>
        <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2",B13="fr"),Skemaoplysninger!$S$650,"")</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IF(E13="",H13,"")</f>
        <v>0</v>
      </c>
      <c r="DK13" t="str">
        <f t="shared" si="15"/>
        <v/>
      </c>
      <c r="DL13" t="str">
        <f t="shared" si="15"/>
        <v/>
      </c>
      <c r="DM13" t="str">
        <f t="shared" si="27"/>
        <v/>
      </c>
      <c r="DN13" t="str">
        <f t="shared" si="28"/>
        <v/>
      </c>
    </row>
    <row r="14" spans="1:118">
      <c r="A14" s="249">
        <f t="shared" si="16"/>
        <v>5</v>
      </c>
      <c r="B14" s="132" t="str">
        <f t="shared" si="0"/>
        <v>lø</v>
      </c>
      <c r="C14" s="133" t="s">
        <v>121</v>
      </c>
      <c r="D14" s="134" t="str">
        <f t="shared" si="1"/>
        <v/>
      </c>
      <c r="E14" s="871"/>
      <c r="F14" s="872"/>
      <c r="G14" s="873"/>
      <c r="H14" s="313"/>
      <c r="I14" s="440"/>
      <c r="J14" s="440"/>
      <c r="K14" s="405"/>
      <c r="L14" s="405"/>
      <c r="M14" s="405"/>
      <c r="N14" s="334">
        <f t="shared" si="17"/>
        <v>0</v>
      </c>
      <c r="O14" s="334">
        <f t="shared" si="18"/>
        <v>0</v>
      </c>
      <c r="P14" s="334">
        <f>IF(Stamoplysninger!$H$29="JA",August!DG14,CX14)</f>
        <v>0</v>
      </c>
      <c r="Q14" s="334">
        <f t="shared" si="19"/>
        <v>0</v>
      </c>
      <c r="R14" s="439"/>
      <c r="S14" s="341"/>
      <c r="T14" s="342"/>
      <c r="U14" s="342"/>
      <c r="V14" s="336"/>
      <c r="W14" s="472"/>
      <c r="X14" s="337"/>
      <c r="Y14">
        <f t="shared" si="20"/>
        <v>0</v>
      </c>
      <c r="Z14">
        <f t="shared" si="2"/>
        <v>0</v>
      </c>
      <c r="AA14" s="1">
        <f t="shared" si="3"/>
        <v>0</v>
      </c>
      <c r="AB14" s="1">
        <f t="shared" si="4"/>
        <v>0</v>
      </c>
      <c r="AC14" s="1">
        <f t="shared" si="5"/>
        <v>0</v>
      </c>
      <c r="AD14" s="1">
        <f t="shared" si="6"/>
        <v>0</v>
      </c>
      <c r="AE14" s="1">
        <f t="shared" si="7"/>
        <v>0</v>
      </c>
      <c r="AF14" s="1">
        <f>IF(C14="Orlov",Stamoplysninger!$E$15*7.4,0)</f>
        <v>0</v>
      </c>
      <c r="AG14" t="str">
        <f>IF(AND(C14="Skema 1",B14="ma"),Arbejdstidsoversigt!$E$44,"")</f>
        <v/>
      </c>
      <c r="AH14" t="str">
        <f>IF(AND(C14="Skema 1",B14="ti"),Arbejdstidsoversigt!$E$45,"")</f>
        <v/>
      </c>
      <c r="AI14" t="str">
        <f>IF(AND(C14="Skema 1",B14="on"),Arbejdstidsoversigt!$E$46,"")</f>
        <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8"/>
        <v>0</v>
      </c>
      <c r="BB14" s="233">
        <f t="shared" si="9"/>
        <v>0</v>
      </c>
      <c r="BC14" s="1">
        <f t="shared" si="21"/>
        <v>0</v>
      </c>
      <c r="BD14" s="1">
        <f t="shared" si="10"/>
        <v>0</v>
      </c>
      <c r="BE14" s="1">
        <f t="shared" si="11"/>
        <v>0</v>
      </c>
      <c r="BF14" s="1">
        <f t="shared" si="12"/>
        <v>0</v>
      </c>
      <c r="BG14" s="214" t="str">
        <f>IF(AND(C14="Skema 1",B14="ma"),Skemaoplysninger!$E$30,"")</f>
        <v/>
      </c>
      <c r="BH14" s="214" t="str">
        <f>IF(AND(C14="Skema 1",B14="ti"),Skemaoplysninger!$F$30,"")</f>
        <v/>
      </c>
      <c r="BI14" s="214" t="str">
        <f>IF(AND(C14="Skema 1",B14="on"),Skemaoplysninger!$G$30,"")</f>
        <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3"/>
        <v>0</v>
      </c>
      <c r="CC14" s="1">
        <f t="shared" si="14"/>
        <v>0</v>
      </c>
      <c r="CD14" s="214" t="str">
        <f>IF(AND(C14="Skema 1",B14="ma"),Skemaoplysninger!$E$39,"")</f>
        <v/>
      </c>
      <c r="CE14" s="214" t="str">
        <f>IF(AND(C14="Skema 1",B14="ti"),Skemaoplysninger!$F$39,"")</f>
        <v/>
      </c>
      <c r="CF14" s="214" t="str">
        <f>IF(AND(C14="Skema 1",B14="on"),Skemaoplysninger!$G$39,"")</f>
        <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2",B14="fr"),Skemaoplysninger!$S$650,"")</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5"/>
        <v/>
      </c>
      <c r="DL14" t="str">
        <f t="shared" si="15"/>
        <v/>
      </c>
      <c r="DM14" t="str">
        <f t="shared" si="27"/>
        <v/>
      </c>
      <c r="DN14" t="str">
        <f t="shared" si="28"/>
        <v/>
      </c>
    </row>
    <row r="15" spans="1:118" ht="16" customHeight="1">
      <c r="A15" s="249">
        <f t="shared" si="16"/>
        <v>6</v>
      </c>
      <c r="B15" s="132" t="str">
        <f t="shared" si="0"/>
        <v>sø</v>
      </c>
      <c r="C15" s="133" t="s">
        <v>121</v>
      </c>
      <c r="D15" s="134" t="str">
        <f t="shared" si="1"/>
        <v/>
      </c>
      <c r="E15" s="871"/>
      <c r="F15" s="872"/>
      <c r="G15" s="873"/>
      <c r="H15" s="313"/>
      <c r="I15" s="440"/>
      <c r="J15" s="440"/>
      <c r="K15" s="405"/>
      <c r="L15" s="405"/>
      <c r="M15" s="405"/>
      <c r="N15" s="334">
        <f t="shared" si="17"/>
        <v>0</v>
      </c>
      <c r="O15" s="334">
        <f t="shared" si="18"/>
        <v>0</v>
      </c>
      <c r="P15" s="334">
        <f>IF(Stamoplysninger!$H$29="JA",August!DG15,CX15)</f>
        <v>0</v>
      </c>
      <c r="Q15" s="334">
        <f t="shared" si="19"/>
        <v>0</v>
      </c>
      <c r="R15" s="439"/>
      <c r="S15" s="341"/>
      <c r="T15" s="342"/>
      <c r="U15" s="342"/>
      <c r="V15" s="336"/>
      <c r="W15" s="472"/>
      <c r="X15" s="337"/>
      <c r="Y15">
        <f t="shared" si="20"/>
        <v>0</v>
      </c>
      <c r="Z15">
        <f t="shared" si="2"/>
        <v>0</v>
      </c>
      <c r="AA15" s="1">
        <f t="shared" si="3"/>
        <v>0</v>
      </c>
      <c r="AB15" s="1">
        <f t="shared" si="4"/>
        <v>0</v>
      </c>
      <c r="AC15" s="1">
        <f t="shared" si="5"/>
        <v>0</v>
      </c>
      <c r="AD15" s="1">
        <f t="shared" si="6"/>
        <v>0</v>
      </c>
      <c r="AE15" s="1">
        <f t="shared" si="7"/>
        <v>0</v>
      </c>
      <c r="AF15" s="1">
        <f>IF(C15="Orlov",Stamoplysninger!$E$15*7.4,0)</f>
        <v>0</v>
      </c>
      <c r="AG15" t="str">
        <f>IF(AND(C15="Skema 1",B15="ma"),Arbejdstidsoversigt!$E$44,"")</f>
        <v/>
      </c>
      <c r="AH15" t="str">
        <f>IF(AND(C15="Skema 1",B15="ti"),Arbejdstidsoversigt!$E$45,"")</f>
        <v/>
      </c>
      <c r="AI15" t="str">
        <f>IF(AND(C15="Skema 1",B15="on"),Arbejdstidsoversigt!$E$46,"")</f>
        <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8"/>
        <v>0</v>
      </c>
      <c r="BB15" s="233">
        <f t="shared" si="9"/>
        <v>0</v>
      </c>
      <c r="BC15" s="1">
        <f t="shared" si="21"/>
        <v>0</v>
      </c>
      <c r="BD15" s="1">
        <f t="shared" si="10"/>
        <v>0</v>
      </c>
      <c r="BE15" s="1">
        <f t="shared" si="11"/>
        <v>0</v>
      </c>
      <c r="BF15" s="1">
        <f t="shared" si="12"/>
        <v>0</v>
      </c>
      <c r="BG15" s="214" t="str">
        <f>IF(AND(C15="Skema 1",B15="ma"),Skemaoplysninger!$E$30,"")</f>
        <v/>
      </c>
      <c r="BH15" s="214" t="str">
        <f>IF(AND(C15="Skema 1",B15="ti"),Skemaoplysninger!$F$30,"")</f>
        <v/>
      </c>
      <c r="BI15" s="214" t="str">
        <f>IF(AND(C15="Skema 1",B15="on"),Skemaoplysninger!$G$30,"")</f>
        <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3"/>
        <v>0</v>
      </c>
      <c r="CC15" s="1">
        <f t="shared" si="14"/>
        <v>0</v>
      </c>
      <c r="CD15" s="214" t="str">
        <f>IF(AND(C15="Skema 1",B15="ma"),Skemaoplysninger!$E$39,"")</f>
        <v/>
      </c>
      <c r="CE15" s="214" t="str">
        <f>IF(AND(C15="Skema 1",B15="ti"),Skemaoplysninger!$F$39,"")</f>
        <v/>
      </c>
      <c r="CF15" s="214" t="str">
        <f>IF(AND(C15="Skema 1",B15="on"),Skemaoplysninger!$G$39,"")</f>
        <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2",B15="fr"),Skemaoplysninger!$S$650,"")</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5"/>
        <v/>
      </c>
      <c r="DL15" t="str">
        <f t="shared" si="15"/>
        <v/>
      </c>
      <c r="DM15" t="str">
        <f t="shared" si="27"/>
        <v/>
      </c>
      <c r="DN15" t="str">
        <f t="shared" si="28"/>
        <v/>
      </c>
    </row>
    <row r="16" spans="1:118" ht="16" customHeight="1">
      <c r="A16" s="249">
        <f t="shared" si="16"/>
        <v>7</v>
      </c>
      <c r="B16" s="132" t="str">
        <f t="shared" si="0"/>
        <v>ma</v>
      </c>
      <c r="C16" s="133" t="s">
        <v>129</v>
      </c>
      <c r="D16" s="134">
        <f t="shared" si="1"/>
        <v>32.142857142857146</v>
      </c>
      <c r="E16" s="871"/>
      <c r="F16" s="872"/>
      <c r="G16" s="873"/>
      <c r="H16" s="313"/>
      <c r="I16" s="582"/>
      <c r="J16" s="440"/>
      <c r="K16" s="405"/>
      <c r="L16" s="405"/>
      <c r="M16" s="405"/>
      <c r="N16" s="334">
        <f t="shared" si="17"/>
        <v>0</v>
      </c>
      <c r="O16" s="334">
        <f t="shared" si="18"/>
        <v>0</v>
      </c>
      <c r="P16" s="334">
        <f>IF(Stamoplysninger!$H$29="JA",August!DG16,CX16)</f>
        <v>0</v>
      </c>
      <c r="Q16" s="334">
        <f t="shared" si="19"/>
        <v>0</v>
      </c>
      <c r="R16" s="439"/>
      <c r="S16" s="341"/>
      <c r="T16" s="342"/>
      <c r="U16" s="342"/>
      <c r="V16" s="336"/>
      <c r="W16" s="472"/>
      <c r="X16" s="337"/>
      <c r="Y16">
        <f t="shared" si="20"/>
        <v>0</v>
      </c>
      <c r="Z16">
        <f t="shared" si="2"/>
        <v>0</v>
      </c>
      <c r="AA16" s="1">
        <f t="shared" si="3"/>
        <v>0</v>
      </c>
      <c r="AB16" s="1">
        <f t="shared" si="4"/>
        <v>0</v>
      </c>
      <c r="AC16" s="1">
        <f t="shared" si="5"/>
        <v>0</v>
      </c>
      <c r="AD16" s="1">
        <f t="shared" si="6"/>
        <v>0</v>
      </c>
      <c r="AE16" s="1">
        <f t="shared" si="7"/>
        <v>0</v>
      </c>
      <c r="AF16" s="1">
        <f>IF(C16="Orlov",Stamoplysninger!$E$15*7.4,0)</f>
        <v>0</v>
      </c>
      <c r="AG16" t="str">
        <f>IF(AND(C16="Skema 1",B16="ma"),Arbejdstidsoversigt!$E$44,"")</f>
        <v/>
      </c>
      <c r="AH16" t="str">
        <f>IF(AND(C16="Skema 1",B16="ti"),Arbejdstidsoversigt!$E$45,"")</f>
        <v/>
      </c>
      <c r="AI16" t="str">
        <f>IF(AND(C16="Skema 1",B16="on"),Arbejdstidsoversigt!$E$46,"")</f>
        <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8"/>
        <v>0</v>
      </c>
      <c r="BB16" s="233">
        <f t="shared" si="9"/>
        <v>0</v>
      </c>
      <c r="BC16" s="1">
        <f t="shared" si="21"/>
        <v>0</v>
      </c>
      <c r="BD16" s="1">
        <f t="shared" si="10"/>
        <v>0</v>
      </c>
      <c r="BE16" s="1">
        <f t="shared" si="11"/>
        <v>0</v>
      </c>
      <c r="BF16" s="1">
        <f t="shared" si="12"/>
        <v>0</v>
      </c>
      <c r="BG16" s="214" t="str">
        <f>IF(AND(C16="Skema 1",B16="ma"),Skemaoplysninger!$E$30,"")</f>
        <v/>
      </c>
      <c r="BH16" s="214" t="str">
        <f>IF(AND(C16="Skema 1",B16="ti"),Skemaoplysninger!$F$30,"")</f>
        <v/>
      </c>
      <c r="BI16" s="214" t="str">
        <f>IF(AND(C16="Skema 1",B16="on"),Skemaoplysninger!$G$30,"")</f>
        <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3"/>
        <v>0</v>
      </c>
      <c r="CC16" s="1">
        <f t="shared" si="14"/>
        <v>0</v>
      </c>
      <c r="CD16" s="214" t="str">
        <f>IF(AND(C16="Skema 1",B16="ma"),Skemaoplysninger!$E$39,"")</f>
        <v/>
      </c>
      <c r="CE16" s="214" t="str">
        <f>IF(AND(C16="Skema 1",B16="ti"),Skemaoplysninger!$F$39,"")</f>
        <v/>
      </c>
      <c r="CF16" s="214" t="str">
        <f>IF(AND(C16="Skema 1",B16="on"),Skemaoplysninger!$G$39,"")</f>
        <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2",B16="fr"),Skemaoplysninger!$S$650,"")</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5"/>
        <v/>
      </c>
      <c r="DL16" t="str">
        <f t="shared" si="15"/>
        <v/>
      </c>
      <c r="DM16" t="str">
        <f t="shared" si="27"/>
        <v/>
      </c>
      <c r="DN16" t="str">
        <f t="shared" si="28"/>
        <v/>
      </c>
    </row>
    <row r="17" spans="1:118">
      <c r="A17" s="249">
        <f t="shared" si="16"/>
        <v>8</v>
      </c>
      <c r="B17" s="132" t="str">
        <f t="shared" si="0"/>
        <v>ti</v>
      </c>
      <c r="C17" s="133" t="s">
        <v>129</v>
      </c>
      <c r="D17" s="134" t="str">
        <f t="shared" si="1"/>
        <v/>
      </c>
      <c r="E17" s="871"/>
      <c r="F17" s="872"/>
      <c r="G17" s="873"/>
      <c r="H17" s="313"/>
      <c r="I17" s="582"/>
      <c r="J17" s="440"/>
      <c r="K17" s="405"/>
      <c r="L17" s="405"/>
      <c r="M17" s="405"/>
      <c r="N17" s="334">
        <f t="shared" si="17"/>
        <v>0</v>
      </c>
      <c r="O17" s="334">
        <f t="shared" si="18"/>
        <v>0</v>
      </c>
      <c r="P17" s="334">
        <f>IF(Stamoplysninger!$H$29="JA",August!DG17,CX17)</f>
        <v>0</v>
      </c>
      <c r="Q17" s="334">
        <f t="shared" si="19"/>
        <v>0</v>
      </c>
      <c r="R17" s="439"/>
      <c r="S17" s="341"/>
      <c r="T17" s="342"/>
      <c r="U17" s="342"/>
      <c r="V17" s="336"/>
      <c r="W17" s="472"/>
      <c r="X17" s="337"/>
      <c r="Y17">
        <f t="shared" si="20"/>
        <v>0</v>
      </c>
      <c r="Z17">
        <f t="shared" si="2"/>
        <v>0</v>
      </c>
      <c r="AA17" s="1">
        <f t="shared" si="3"/>
        <v>0</v>
      </c>
      <c r="AB17" s="1">
        <f t="shared" si="4"/>
        <v>0</v>
      </c>
      <c r="AC17" s="1">
        <f t="shared" si="5"/>
        <v>0</v>
      </c>
      <c r="AD17" s="1">
        <f t="shared" si="6"/>
        <v>0</v>
      </c>
      <c r="AE17" s="1">
        <f t="shared" si="7"/>
        <v>0</v>
      </c>
      <c r="AF17" s="1">
        <f>IF(C17="Orlov",Stamoplysninger!$E$15*7.4,0)</f>
        <v>0</v>
      </c>
      <c r="AG17" t="str">
        <f>IF(AND(C17="Skema 1",B17="ma"),Arbejdstidsoversigt!$E$44,"")</f>
        <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8"/>
        <v>0</v>
      </c>
      <c r="BB17" s="233">
        <f t="shared" si="9"/>
        <v>0</v>
      </c>
      <c r="BC17" s="1">
        <f t="shared" si="21"/>
        <v>0</v>
      </c>
      <c r="BD17" s="1">
        <f t="shared" si="10"/>
        <v>0</v>
      </c>
      <c r="BE17" s="1">
        <f t="shared" si="11"/>
        <v>0</v>
      </c>
      <c r="BF17" s="1">
        <f t="shared" si="12"/>
        <v>0</v>
      </c>
      <c r="BG17" s="214" t="str">
        <f>IF(AND(C17="Skema 1",B17="ma"),Skemaoplysninger!$E$30,"")</f>
        <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3"/>
        <v>0</v>
      </c>
      <c r="CC17" s="1">
        <f t="shared" si="14"/>
        <v>0</v>
      </c>
      <c r="CD17" s="214" t="str">
        <f>IF(AND(C17="Skema 1",B17="ma"),Skemaoplysninger!$E$39,"")</f>
        <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2",B17="fr"),Skemaoplysninger!$S$650,"")</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5"/>
        <v/>
      </c>
      <c r="DL17" t="str">
        <f t="shared" si="15"/>
        <v/>
      </c>
      <c r="DM17" t="str">
        <f t="shared" si="27"/>
        <v/>
      </c>
      <c r="DN17" t="str">
        <f t="shared" si="28"/>
        <v/>
      </c>
    </row>
    <row r="18" spans="1:118">
      <c r="A18" s="249">
        <f t="shared" si="16"/>
        <v>9</v>
      </c>
      <c r="B18" s="132" t="str">
        <f t="shared" si="0"/>
        <v>on</v>
      </c>
      <c r="C18" s="133" t="s">
        <v>129</v>
      </c>
      <c r="D18" s="134" t="str">
        <f t="shared" si="1"/>
        <v/>
      </c>
      <c r="E18" s="871"/>
      <c r="F18" s="872"/>
      <c r="G18" s="873"/>
      <c r="H18" s="313"/>
      <c r="I18" s="582"/>
      <c r="J18" s="440"/>
      <c r="K18" s="405"/>
      <c r="L18" s="405"/>
      <c r="M18" s="405"/>
      <c r="N18" s="334">
        <f t="shared" si="17"/>
        <v>0</v>
      </c>
      <c r="O18" s="334">
        <f t="shared" si="18"/>
        <v>0</v>
      </c>
      <c r="P18" s="334">
        <f>IF(Stamoplysninger!$H$29="JA",August!DG18,CX18)</f>
        <v>0</v>
      </c>
      <c r="Q18" s="334">
        <f t="shared" si="19"/>
        <v>0</v>
      </c>
      <c r="R18" s="439"/>
      <c r="S18" s="341"/>
      <c r="T18" s="342"/>
      <c r="U18" s="342"/>
      <c r="V18" s="336"/>
      <c r="W18" s="472"/>
      <c r="X18" s="337"/>
      <c r="Y18">
        <f t="shared" si="20"/>
        <v>0</v>
      </c>
      <c r="Z18">
        <f t="shared" si="2"/>
        <v>0</v>
      </c>
      <c r="AA18" s="1">
        <f t="shared" si="3"/>
        <v>0</v>
      </c>
      <c r="AB18" s="1">
        <f t="shared" si="4"/>
        <v>0</v>
      </c>
      <c r="AC18" s="1">
        <f t="shared" si="5"/>
        <v>0</v>
      </c>
      <c r="AD18" s="1">
        <f t="shared" si="6"/>
        <v>0</v>
      </c>
      <c r="AE18" s="1">
        <f t="shared" si="7"/>
        <v>0</v>
      </c>
      <c r="AF18" s="1">
        <f>IF(C18="Orlov",Stamoplysninger!$E$15*7.4,0)</f>
        <v>0</v>
      </c>
      <c r="AG18" t="str">
        <f>IF(AND(C18="Skema 1",B18="ma"),Arbejdstidsoversigt!$E$44,"")</f>
        <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8"/>
        <v>0</v>
      </c>
      <c r="BB18" s="233">
        <f t="shared" si="9"/>
        <v>0</v>
      </c>
      <c r="BC18" s="1">
        <f t="shared" si="21"/>
        <v>0</v>
      </c>
      <c r="BD18" s="1">
        <f t="shared" si="10"/>
        <v>0</v>
      </c>
      <c r="BE18" s="1">
        <f t="shared" si="11"/>
        <v>0</v>
      </c>
      <c r="BF18" s="1">
        <f t="shared" si="12"/>
        <v>0</v>
      </c>
      <c r="BG18" s="214" t="str">
        <f>IF(AND(C18="Skema 1",B18="ma"),Skemaoplysninger!$E$30,"")</f>
        <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3"/>
        <v>0</v>
      </c>
      <c r="CC18" s="1">
        <f t="shared" si="14"/>
        <v>0</v>
      </c>
      <c r="CD18" s="214" t="str">
        <f>IF(AND(C18="Skema 1",B18="ma"),Skemaoplysninger!$E$39,"")</f>
        <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2",B18="fr"),Skemaoplysninger!$S$650,"")</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5"/>
        <v/>
      </c>
      <c r="DL18" t="str">
        <f t="shared" si="15"/>
        <v/>
      </c>
      <c r="DM18" t="str">
        <f t="shared" si="27"/>
        <v/>
      </c>
      <c r="DN18" t="str">
        <f t="shared" si="28"/>
        <v/>
      </c>
    </row>
    <row r="19" spans="1:118">
      <c r="A19" s="249">
        <f t="shared" si="16"/>
        <v>10</v>
      </c>
      <c r="B19" s="132" t="str">
        <f t="shared" si="0"/>
        <v>to</v>
      </c>
      <c r="C19" s="133" t="s">
        <v>129</v>
      </c>
      <c r="D19" s="134" t="str">
        <f t="shared" si="1"/>
        <v/>
      </c>
      <c r="E19" s="871"/>
      <c r="F19" s="872"/>
      <c r="G19" s="873"/>
      <c r="H19" s="313"/>
      <c r="I19" s="582"/>
      <c r="J19" s="440"/>
      <c r="K19" s="405"/>
      <c r="L19" s="405"/>
      <c r="M19" s="405"/>
      <c r="N19" s="334">
        <f t="shared" si="17"/>
        <v>0</v>
      </c>
      <c r="O19" s="334">
        <f t="shared" si="18"/>
        <v>0</v>
      </c>
      <c r="P19" s="334">
        <f>IF(Stamoplysninger!$H$29="JA",August!DG19,CX19)</f>
        <v>0</v>
      </c>
      <c r="Q19" s="334">
        <f t="shared" si="19"/>
        <v>0</v>
      </c>
      <c r="R19" s="439"/>
      <c r="S19" s="341"/>
      <c r="T19" s="342"/>
      <c r="U19" s="342"/>
      <c r="V19" s="336"/>
      <c r="W19" s="472"/>
      <c r="X19" s="337"/>
      <c r="Y19">
        <f t="shared" si="20"/>
        <v>0</v>
      </c>
      <c r="Z19">
        <f t="shared" si="2"/>
        <v>0</v>
      </c>
      <c r="AA19" s="1">
        <f t="shared" si="3"/>
        <v>0</v>
      </c>
      <c r="AB19" s="1">
        <f t="shared" si="4"/>
        <v>0</v>
      </c>
      <c r="AC19" s="1">
        <f t="shared" si="5"/>
        <v>0</v>
      </c>
      <c r="AD19" s="1">
        <f t="shared" si="6"/>
        <v>0</v>
      </c>
      <c r="AE19" s="1">
        <f t="shared" si="7"/>
        <v>0</v>
      </c>
      <c r="AF19" s="1">
        <f>IF(C19="Orlov",Stamoplysninger!$E$15*7.4,0)</f>
        <v>0</v>
      </c>
      <c r="AG19" t="str">
        <f>IF(AND(C19="Skema 1",B19="ma"),Arbejdstidsoversigt!$E$44,"")</f>
        <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8"/>
        <v>0</v>
      </c>
      <c r="BB19" s="233">
        <f t="shared" si="9"/>
        <v>0</v>
      </c>
      <c r="BC19" s="1">
        <f t="shared" si="21"/>
        <v>0</v>
      </c>
      <c r="BD19" s="1">
        <f t="shared" si="10"/>
        <v>0</v>
      </c>
      <c r="BE19" s="1">
        <f t="shared" si="11"/>
        <v>0</v>
      </c>
      <c r="BF19" s="1">
        <f t="shared" si="12"/>
        <v>0</v>
      </c>
      <c r="BG19" s="214" t="str">
        <f>IF(AND(C19="Skema 1",B19="ma"),Skemaoplysninger!$E$30,"")</f>
        <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3"/>
        <v>0</v>
      </c>
      <c r="CC19" s="1">
        <f t="shared" si="14"/>
        <v>0</v>
      </c>
      <c r="CD19" s="214" t="str">
        <f>IF(AND(C19="Skema 1",B19="ma"),Skemaoplysninger!$E$39,"")</f>
        <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2",B19="fr"),Skemaoplysninger!$S$650,"")</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5"/>
        <v/>
      </c>
      <c r="DL19" t="str">
        <f t="shared" si="15"/>
        <v/>
      </c>
      <c r="DM19" t="str">
        <f t="shared" si="27"/>
        <v/>
      </c>
      <c r="DN19" t="str">
        <f t="shared" si="28"/>
        <v/>
      </c>
    </row>
    <row r="20" spans="1:118">
      <c r="A20" s="249">
        <f t="shared" si="16"/>
        <v>11</v>
      </c>
      <c r="B20" s="132" t="str">
        <f t="shared" si="0"/>
        <v>fr</v>
      </c>
      <c r="C20" s="133" t="s">
        <v>129</v>
      </c>
      <c r="D20" s="134" t="str">
        <f t="shared" si="1"/>
        <v/>
      </c>
      <c r="E20" s="871"/>
      <c r="F20" s="872"/>
      <c r="G20" s="873"/>
      <c r="H20" s="313"/>
      <c r="I20" s="582"/>
      <c r="J20" s="440"/>
      <c r="K20" s="405"/>
      <c r="L20" s="405"/>
      <c r="M20" s="405"/>
      <c r="N20" s="334">
        <f t="shared" si="17"/>
        <v>0</v>
      </c>
      <c r="O20" s="334">
        <f t="shared" si="18"/>
        <v>0</v>
      </c>
      <c r="P20" s="334">
        <f>IF(Stamoplysninger!$H$29="JA",August!DG20,CX20)</f>
        <v>0</v>
      </c>
      <c r="Q20" s="334">
        <f t="shared" si="19"/>
        <v>0</v>
      </c>
      <c r="R20" s="439"/>
      <c r="S20" s="341"/>
      <c r="T20" s="342"/>
      <c r="U20" s="342"/>
      <c r="V20" s="336"/>
      <c r="W20" s="472"/>
      <c r="X20" s="337"/>
      <c r="Y20">
        <f t="shared" si="20"/>
        <v>0</v>
      </c>
      <c r="Z20">
        <f t="shared" si="2"/>
        <v>0</v>
      </c>
      <c r="AA20" s="1">
        <f t="shared" si="3"/>
        <v>0</v>
      </c>
      <c r="AB20" s="1">
        <f t="shared" si="4"/>
        <v>0</v>
      </c>
      <c r="AC20" s="1">
        <f t="shared" si="5"/>
        <v>0</v>
      </c>
      <c r="AD20" s="1">
        <f t="shared" si="6"/>
        <v>0</v>
      </c>
      <c r="AE20" s="1">
        <f t="shared" si="7"/>
        <v>0</v>
      </c>
      <c r="AF20" s="1">
        <f>IF(C20="Orlov",Stamoplysninger!$E$15*7.4,0)</f>
        <v>0</v>
      </c>
      <c r="AG20" t="str">
        <f>IF(AND(C20="Skema 1",B20="ma"),Arbejdstidsoversigt!$E$44,"")</f>
        <v/>
      </c>
      <c r="AH20" t="str">
        <f>IF(AND(C20="Skema 1",B20="ti"),Arbejdstidsoversigt!$E$45,"")</f>
        <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8"/>
        <v>0</v>
      </c>
      <c r="BB20" s="233">
        <f t="shared" si="9"/>
        <v>0</v>
      </c>
      <c r="BC20" s="1">
        <f t="shared" si="21"/>
        <v>0</v>
      </c>
      <c r="BD20" s="1">
        <f t="shared" si="10"/>
        <v>0</v>
      </c>
      <c r="BE20" s="1">
        <f t="shared" si="11"/>
        <v>0</v>
      </c>
      <c r="BF20" s="1">
        <f t="shared" si="12"/>
        <v>0</v>
      </c>
      <c r="BG20" s="214" t="str">
        <f>IF(AND(C20="Skema 1",B20="ma"),Skemaoplysninger!$E$30,"")</f>
        <v/>
      </c>
      <c r="BH20" s="214" t="str">
        <f>IF(AND(C20="Skema 1",B20="ti"),Skemaoplysninger!$F$30,"")</f>
        <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3"/>
        <v>0</v>
      </c>
      <c r="CC20" s="1">
        <f t="shared" si="14"/>
        <v>0</v>
      </c>
      <c r="CD20" s="214" t="str">
        <f>IF(AND(C20="Skema 1",B20="ma"),Skemaoplysninger!$E$39,"")</f>
        <v/>
      </c>
      <c r="CE20" s="214" t="str">
        <f>IF(AND(C20="Skema 1",B20="ti"),Skemaoplysninger!$F$39,"")</f>
        <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2",B20="fr"),Skemaoplysninger!$S$650,"")</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f t="shared" si="25"/>
        <v>0</v>
      </c>
      <c r="DJ20">
        <f t="shared" si="26"/>
        <v>0</v>
      </c>
      <c r="DK20" t="str">
        <f t="shared" si="15"/>
        <v/>
      </c>
      <c r="DL20" t="str">
        <f t="shared" si="15"/>
        <v/>
      </c>
      <c r="DM20" t="str">
        <f t="shared" si="27"/>
        <v/>
      </c>
      <c r="DN20" t="str">
        <f t="shared" si="28"/>
        <v/>
      </c>
    </row>
    <row r="21" spans="1:118">
      <c r="A21" s="249">
        <f>IF(ISNUMBER(A20),A20+1,1)</f>
        <v>12</v>
      </c>
      <c r="B21" s="132" t="str">
        <f t="shared" si="0"/>
        <v>lø</v>
      </c>
      <c r="C21" s="133" t="s">
        <v>121</v>
      </c>
      <c r="D21" s="134" t="str">
        <f t="shared" si="1"/>
        <v/>
      </c>
      <c r="E21" s="871"/>
      <c r="F21" s="872"/>
      <c r="G21" s="873"/>
      <c r="H21" s="313"/>
      <c r="I21" s="440"/>
      <c r="J21" s="440"/>
      <c r="K21" s="405"/>
      <c r="L21" s="405"/>
      <c r="M21" s="405"/>
      <c r="N21" s="334">
        <f t="shared" si="17"/>
        <v>0</v>
      </c>
      <c r="O21" s="334">
        <f t="shared" si="18"/>
        <v>0</v>
      </c>
      <c r="P21" s="334">
        <f>IF(Stamoplysninger!$H$29="JA",August!DG21,CX21)</f>
        <v>0</v>
      </c>
      <c r="Q21" s="334">
        <f t="shared" si="19"/>
        <v>0</v>
      </c>
      <c r="R21" s="439"/>
      <c r="S21" s="341"/>
      <c r="T21" s="342"/>
      <c r="U21" s="342"/>
      <c r="V21" s="336"/>
      <c r="W21" s="472"/>
      <c r="X21" s="337"/>
      <c r="Y21">
        <f t="shared" si="20"/>
        <v>0</v>
      </c>
      <c r="Z21">
        <f t="shared" si="2"/>
        <v>0</v>
      </c>
      <c r="AA21" s="1">
        <f t="shared" si="3"/>
        <v>0</v>
      </c>
      <c r="AB21" s="1">
        <f t="shared" si="4"/>
        <v>0</v>
      </c>
      <c r="AC21" s="1">
        <f t="shared" si="5"/>
        <v>0</v>
      </c>
      <c r="AD21" s="1">
        <f t="shared" si="6"/>
        <v>0</v>
      </c>
      <c r="AE21" s="1">
        <f t="shared" si="7"/>
        <v>0</v>
      </c>
      <c r="AF21" s="1">
        <f>IF(C21="Orlov",Stamoplysninger!$E$15*7.4,0)</f>
        <v>0</v>
      </c>
      <c r="AG21" t="str">
        <f>IF(AND(C21="Skema 1",B21="ma"),Arbejdstidsoversigt!$E$44,"")</f>
        <v/>
      </c>
      <c r="AH21" t="str">
        <f>IF(AND(C21="Skema 1",B21="ti"),Arbejdstidsoversigt!$E$45,"")</f>
        <v/>
      </c>
      <c r="AI21" t="str">
        <f>IF(AND(C21="Skema 1",B21="on"),Arbejdstidsoversigt!$E$46,"")</f>
        <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8"/>
        <v>0</v>
      </c>
      <c r="BB21" s="233">
        <f t="shared" si="9"/>
        <v>0</v>
      </c>
      <c r="BC21" s="1">
        <f t="shared" si="21"/>
        <v>0</v>
      </c>
      <c r="BD21" s="1">
        <f t="shared" si="10"/>
        <v>0</v>
      </c>
      <c r="BE21" s="1">
        <f t="shared" si="11"/>
        <v>0</v>
      </c>
      <c r="BF21" s="1">
        <f t="shared" si="12"/>
        <v>0</v>
      </c>
      <c r="BG21" s="214" t="str">
        <f>IF(AND(C21="Skema 1",B21="ma"),Skemaoplysninger!$E$30,"")</f>
        <v/>
      </c>
      <c r="BH21" s="214" t="str">
        <f>IF(AND(C21="Skema 1",B21="ti"),Skemaoplysninger!$F$30,"")</f>
        <v/>
      </c>
      <c r="BI21" s="214" t="str">
        <f>IF(AND(C21="Skema 1",B21="on"),Skemaoplysninger!$G$30,"")</f>
        <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3"/>
        <v>0</v>
      </c>
      <c r="CC21" s="1">
        <f t="shared" si="14"/>
        <v>0</v>
      </c>
      <c r="CD21" s="214" t="str">
        <f>IF(AND(C21="Skema 1",B21="ma"),Skemaoplysninger!$E$39,"")</f>
        <v/>
      </c>
      <c r="CE21" s="214" t="str">
        <f>IF(AND(C21="Skema 1",B21="ti"),Skemaoplysninger!$F$39,"")</f>
        <v/>
      </c>
      <c r="CF21" s="214" t="str">
        <f>IF(AND(C21="Skema 1",B21="on"),Skemaoplysninger!$G$39,"")</f>
        <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2",B21="fr"),Skemaoplysninger!$S$650,"")</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5"/>
        <v/>
      </c>
      <c r="DL21" t="str">
        <f t="shared" si="15"/>
        <v/>
      </c>
      <c r="DM21" t="str">
        <f t="shared" si="27"/>
        <v/>
      </c>
      <c r="DN21" t="str">
        <f t="shared" si="28"/>
        <v/>
      </c>
    </row>
    <row r="22" spans="1:118">
      <c r="A22" s="249">
        <f>IF(ISNUMBER(A21),A21+1,1)</f>
        <v>13</v>
      </c>
      <c r="B22" s="132" t="str">
        <f t="shared" si="0"/>
        <v>sø</v>
      </c>
      <c r="C22" s="133" t="s">
        <v>121</v>
      </c>
      <c r="D22" s="134" t="str">
        <f t="shared" si="1"/>
        <v/>
      </c>
      <c r="E22" s="868"/>
      <c r="F22" s="869"/>
      <c r="G22" s="870"/>
      <c r="H22" s="312"/>
      <c r="I22" s="440"/>
      <c r="J22" s="440"/>
      <c r="K22" s="405"/>
      <c r="L22" s="405"/>
      <c r="M22" s="405"/>
      <c r="N22" s="334">
        <f t="shared" si="17"/>
        <v>0</v>
      </c>
      <c r="O22" s="334">
        <f t="shared" si="18"/>
        <v>0</v>
      </c>
      <c r="P22" s="334">
        <f>IF(Stamoplysninger!$H$29="JA",August!DG22,CX22)</f>
        <v>0</v>
      </c>
      <c r="Q22" s="334">
        <f t="shared" si="19"/>
        <v>0</v>
      </c>
      <c r="R22" s="439"/>
      <c r="S22" s="341"/>
      <c r="T22" s="342"/>
      <c r="U22" s="342"/>
      <c r="V22" s="336"/>
      <c r="W22" s="472"/>
      <c r="X22" s="337"/>
      <c r="Y22">
        <f t="shared" si="20"/>
        <v>0</v>
      </c>
      <c r="Z22">
        <f t="shared" si="2"/>
        <v>0</v>
      </c>
      <c r="AA22" s="1">
        <f t="shared" si="3"/>
        <v>0</v>
      </c>
      <c r="AB22" s="1">
        <f t="shared" si="4"/>
        <v>0</v>
      </c>
      <c r="AC22" s="1">
        <f t="shared" si="5"/>
        <v>0</v>
      </c>
      <c r="AD22" s="1">
        <f t="shared" si="6"/>
        <v>0</v>
      </c>
      <c r="AE22" s="1">
        <f t="shared" si="7"/>
        <v>0</v>
      </c>
      <c r="AF22" s="1">
        <f>IF(C22="Orlov",Stamoplysninger!$E$15*7.4,0)</f>
        <v>0</v>
      </c>
      <c r="AG22" t="str">
        <f>IF(AND(C22="Skema 1",B22="ma"),Arbejdstidsoversigt!$E$44,"")</f>
        <v/>
      </c>
      <c r="AH22" t="str">
        <f>IF(AND(C22="Skema 1",B22="ti"),Arbejdstidsoversigt!$E$45,"")</f>
        <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8"/>
        <v>0</v>
      </c>
      <c r="BB22" s="233">
        <f t="shared" si="9"/>
        <v>0</v>
      </c>
      <c r="BC22" s="1">
        <f t="shared" si="21"/>
        <v>0</v>
      </c>
      <c r="BD22" s="1">
        <f t="shared" si="10"/>
        <v>0</v>
      </c>
      <c r="BE22" s="1">
        <f t="shared" si="11"/>
        <v>0</v>
      </c>
      <c r="BF22" s="1">
        <f t="shared" si="12"/>
        <v>0</v>
      </c>
      <c r="BG22" s="214" t="str">
        <f>IF(AND(C22="Skema 1",B22="ma"),Skemaoplysninger!$E$30,"")</f>
        <v/>
      </c>
      <c r="BH22" s="214" t="str">
        <f>IF(AND(C22="Skema 1",B22="ti"),Skemaoplysninger!$F$30,"")</f>
        <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3"/>
        <v>0</v>
      </c>
      <c r="CC22" s="1">
        <f t="shared" si="14"/>
        <v>0</v>
      </c>
      <c r="CD22" s="214" t="str">
        <f>IF(AND(C22="Skema 1",B22="ma"),Skemaoplysninger!$E$39,"")</f>
        <v/>
      </c>
      <c r="CE22" s="214" t="str">
        <f>IF(AND(C22="Skema 1",B22="ti"),Skemaoplysninger!$F$39,"")</f>
        <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2",B22="fr"),Skemaoplysninger!$S$650,"")</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5"/>
        <v/>
      </c>
      <c r="DL22" t="str">
        <f t="shared" si="15"/>
        <v/>
      </c>
      <c r="DM22" t="str">
        <f t="shared" si="27"/>
        <v/>
      </c>
      <c r="DN22" t="str">
        <f t="shared" si="28"/>
        <v/>
      </c>
    </row>
    <row r="23" spans="1:118">
      <c r="A23" s="249">
        <f t="shared" si="16"/>
        <v>14</v>
      </c>
      <c r="B23" s="132" t="str">
        <f t="shared" si="0"/>
        <v>ma</v>
      </c>
      <c r="C23" s="133" t="s">
        <v>209</v>
      </c>
      <c r="D23" s="134">
        <f t="shared" si="1"/>
        <v>33.142857142857146</v>
      </c>
      <c r="E23" s="868"/>
      <c r="F23" s="869"/>
      <c r="G23" s="870"/>
      <c r="H23" s="312"/>
      <c r="I23" s="582"/>
      <c r="J23" s="440"/>
      <c r="K23" s="405"/>
      <c r="L23" s="405"/>
      <c r="M23" s="405"/>
      <c r="N23" s="334">
        <f t="shared" si="17"/>
        <v>0</v>
      </c>
      <c r="O23" s="334">
        <f t="shared" si="18"/>
        <v>0</v>
      </c>
      <c r="P23" s="334">
        <f>IF(Stamoplysninger!$H$29="JA",August!DG23,CX23)</f>
        <v>0</v>
      </c>
      <c r="Q23" s="334">
        <f t="shared" si="19"/>
        <v>0</v>
      </c>
      <c r="R23" s="439"/>
      <c r="S23" s="341"/>
      <c r="T23" s="342"/>
      <c r="U23" s="342"/>
      <c r="V23" s="336"/>
      <c r="W23" s="472"/>
      <c r="X23" s="337"/>
      <c r="Y23">
        <f t="shared" si="20"/>
        <v>0</v>
      </c>
      <c r="Z23">
        <f t="shared" si="2"/>
        <v>0</v>
      </c>
      <c r="AA23" s="1">
        <f t="shared" si="3"/>
        <v>0</v>
      </c>
      <c r="AB23" s="1">
        <f t="shared" si="4"/>
        <v>0</v>
      </c>
      <c r="AC23" s="1">
        <f t="shared" si="5"/>
        <v>0</v>
      </c>
      <c r="AD23" s="1">
        <f t="shared" si="6"/>
        <v>0</v>
      </c>
      <c r="AE23" s="1">
        <f t="shared" si="7"/>
        <v>0</v>
      </c>
      <c r="AF23" s="1">
        <f>IF(C23="Orlov",Stamoplysninger!$E$15*7.4,0)</f>
        <v>0</v>
      </c>
      <c r="AG23">
        <f>IF(AND(C23="Skema 1",B23="ma"),Arbejdstidsoversigt!$E$44,"")</f>
        <v>0</v>
      </c>
      <c r="AH23" t="str">
        <f>IF(AND(C23="Skema 1",B23="ti"),Arbejdstidsoversigt!$E$45,"")</f>
        <v/>
      </c>
      <c r="AI23" t="str">
        <f>IF(AND(C23="Skema 1",B23="on"),Arbejdstidsoversigt!$E$46,"")</f>
        <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8"/>
        <v>0</v>
      </c>
      <c r="BB23" s="233">
        <f t="shared" si="9"/>
        <v>0</v>
      </c>
      <c r="BC23" s="1">
        <f t="shared" si="21"/>
        <v>0</v>
      </c>
      <c r="BD23" s="1">
        <f t="shared" si="10"/>
        <v>0</v>
      </c>
      <c r="BE23" s="1">
        <f t="shared" si="11"/>
        <v>0</v>
      </c>
      <c r="BF23" s="1">
        <f t="shared" si="12"/>
        <v>0</v>
      </c>
      <c r="BG23" s="214">
        <f>IF(AND(C23="Skema 1",B23="ma"),Skemaoplysninger!$E$30,"")</f>
        <v>0</v>
      </c>
      <c r="BH23" s="214" t="str">
        <f>IF(AND(C23="Skema 1",B23="ti"),Skemaoplysninger!$F$30,"")</f>
        <v/>
      </c>
      <c r="BI23" s="214" t="str">
        <f>IF(AND(C23="Skema 1",B23="on"),Skemaoplysninger!$G$30,"")</f>
        <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3"/>
        <v>0</v>
      </c>
      <c r="CC23" s="1">
        <f t="shared" si="14"/>
        <v>0</v>
      </c>
      <c r="CD23" s="214">
        <f>IF(AND(C23="Skema 1",B23="ma"),Skemaoplysninger!$E$39,"")</f>
        <v>0</v>
      </c>
      <c r="CE23" s="214" t="str">
        <f>IF(AND(C23="Skema 1",B23="ti"),Skemaoplysninger!$F$39,"")</f>
        <v/>
      </c>
      <c r="CF23" s="214" t="str">
        <f>IF(AND(C23="Skema 1",B23="on"),Skemaoplysninger!$G$39,"")</f>
        <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2",B23="fr"),Skemaoplysninger!$S$650,"")</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5"/>
        <v/>
      </c>
      <c r="DL23" t="str">
        <f t="shared" si="15"/>
        <v/>
      </c>
      <c r="DM23" t="str">
        <f t="shared" si="27"/>
        <v/>
      </c>
      <c r="DN23" t="str">
        <f t="shared" si="28"/>
        <v/>
      </c>
    </row>
    <row r="24" spans="1:118">
      <c r="A24" s="249">
        <f t="shared" si="16"/>
        <v>15</v>
      </c>
      <c r="B24" s="132" t="str">
        <f t="shared" si="0"/>
        <v>ti</v>
      </c>
      <c r="C24" s="133" t="s">
        <v>209</v>
      </c>
      <c r="D24" s="134" t="str">
        <f t="shared" si="1"/>
        <v/>
      </c>
      <c r="E24" s="868"/>
      <c r="F24" s="869"/>
      <c r="G24" s="870"/>
      <c r="H24" s="312"/>
      <c r="I24" s="582"/>
      <c r="J24" s="440"/>
      <c r="K24" s="405"/>
      <c r="L24" s="405"/>
      <c r="M24" s="405"/>
      <c r="N24" s="334">
        <f t="shared" si="17"/>
        <v>0</v>
      </c>
      <c r="O24" s="334">
        <f t="shared" si="18"/>
        <v>0</v>
      </c>
      <c r="P24" s="334">
        <f>IF(Stamoplysninger!$H$29="JA",August!DG24,CX24)</f>
        <v>0</v>
      </c>
      <c r="Q24" s="334">
        <f t="shared" si="19"/>
        <v>0</v>
      </c>
      <c r="R24" s="439"/>
      <c r="S24" s="341"/>
      <c r="T24" s="342"/>
      <c r="U24" s="342"/>
      <c r="V24" s="336"/>
      <c r="W24" s="472"/>
      <c r="X24" s="337"/>
      <c r="Y24">
        <f t="shared" si="20"/>
        <v>0</v>
      </c>
      <c r="Z24">
        <f t="shared" si="2"/>
        <v>0</v>
      </c>
      <c r="AA24" s="1">
        <f t="shared" si="3"/>
        <v>0</v>
      </c>
      <c r="AB24" s="1">
        <f t="shared" si="4"/>
        <v>0</v>
      </c>
      <c r="AC24" s="1">
        <f t="shared" si="5"/>
        <v>0</v>
      </c>
      <c r="AD24" s="1">
        <f t="shared" si="6"/>
        <v>0</v>
      </c>
      <c r="AE24" s="1">
        <f t="shared" si="7"/>
        <v>0</v>
      </c>
      <c r="AF24" s="1">
        <f>IF(C24="Orlov",Stamoplysninger!$E$15*7.4,0)</f>
        <v>0</v>
      </c>
      <c r="AG24" t="str">
        <f>IF(AND(C24="Skema 1",B24="ma"),Arbejdstidsoversigt!$E$44,"")</f>
        <v/>
      </c>
      <c r="AH24">
        <f>IF(AND(C24="Skema 1",B24="ti"),Arbejdstidsoversigt!$E$45,"")</f>
        <v>0</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8"/>
        <v>0</v>
      </c>
      <c r="BB24" s="233">
        <f t="shared" si="9"/>
        <v>0</v>
      </c>
      <c r="BC24" s="1">
        <f t="shared" si="21"/>
        <v>0</v>
      </c>
      <c r="BD24" s="1">
        <f t="shared" si="10"/>
        <v>0</v>
      </c>
      <c r="BE24" s="1">
        <f t="shared" si="11"/>
        <v>0</v>
      </c>
      <c r="BF24" s="1">
        <f t="shared" si="12"/>
        <v>0</v>
      </c>
      <c r="BG24" s="214" t="str">
        <f>IF(AND(C24="Skema 1",B24="ma"),Skemaoplysninger!$E$30,"")</f>
        <v/>
      </c>
      <c r="BH24" s="214">
        <f>IF(AND(C24="Skema 1",B24="ti"),Skemaoplysninger!$F$30,"")</f>
        <v>0</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3"/>
        <v>0</v>
      </c>
      <c r="CC24" s="1">
        <f t="shared" si="14"/>
        <v>0</v>
      </c>
      <c r="CD24" s="214" t="str">
        <f>IF(AND(C24="Skema 1",B24="ma"),Skemaoplysninger!$E$39,"")</f>
        <v/>
      </c>
      <c r="CE24" s="214">
        <f>IF(AND(C24="Skema 1",B24="ti"),Skemaoplysninger!$F$39,"")</f>
        <v>0</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2",B24="fr"),Skemaoplysninger!$S$650,"")</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f t="shared" si="25"/>
        <v>0</v>
      </c>
      <c r="DJ24">
        <f t="shared" si="26"/>
        <v>0</v>
      </c>
      <c r="DK24" t="str">
        <f t="shared" si="15"/>
        <v/>
      </c>
      <c r="DL24" t="str">
        <f t="shared" si="15"/>
        <v/>
      </c>
      <c r="DM24" t="str">
        <f t="shared" si="27"/>
        <v/>
      </c>
      <c r="DN24" t="str">
        <f t="shared" si="28"/>
        <v/>
      </c>
    </row>
    <row r="25" spans="1:118">
      <c r="A25" s="249">
        <f>IF(ISNUMBER(A24),A24+1,1)</f>
        <v>16</v>
      </c>
      <c r="B25" s="132" t="str">
        <f t="shared" si="0"/>
        <v>on</v>
      </c>
      <c r="C25" s="133" t="s">
        <v>209</v>
      </c>
      <c r="D25" s="134" t="str">
        <f t="shared" si="1"/>
        <v/>
      </c>
      <c r="E25" s="871"/>
      <c r="F25" s="872"/>
      <c r="G25" s="873"/>
      <c r="H25" s="313"/>
      <c r="I25" s="582"/>
      <c r="J25" s="440"/>
      <c r="K25" s="405"/>
      <c r="L25" s="405"/>
      <c r="M25" s="405"/>
      <c r="N25" s="334">
        <f t="shared" si="17"/>
        <v>0</v>
      </c>
      <c r="O25" s="334">
        <f t="shared" si="18"/>
        <v>0</v>
      </c>
      <c r="P25" s="334">
        <f>IF(Stamoplysninger!$H$29="JA",August!DG25,CX25)</f>
        <v>0</v>
      </c>
      <c r="Q25" s="334">
        <f t="shared" si="19"/>
        <v>0</v>
      </c>
      <c r="R25" s="439"/>
      <c r="S25" s="341"/>
      <c r="T25" s="342"/>
      <c r="U25" s="342"/>
      <c r="V25" s="336"/>
      <c r="W25" s="472"/>
      <c r="X25" s="337"/>
      <c r="Y25">
        <f t="shared" si="20"/>
        <v>0</v>
      </c>
      <c r="Z25">
        <f t="shared" si="2"/>
        <v>0</v>
      </c>
      <c r="AA25" s="1">
        <f t="shared" si="3"/>
        <v>0</v>
      </c>
      <c r="AB25" s="1">
        <f t="shared" si="4"/>
        <v>0</v>
      </c>
      <c r="AC25" s="1">
        <f t="shared" si="5"/>
        <v>0</v>
      </c>
      <c r="AD25" s="1">
        <f t="shared" si="6"/>
        <v>0</v>
      </c>
      <c r="AE25" s="1">
        <f t="shared" si="7"/>
        <v>0</v>
      </c>
      <c r="AF25" s="1">
        <f>IF(C25="Orlov",Stamoplysninger!$E$15*7.4,0)</f>
        <v>0</v>
      </c>
      <c r="AG25" t="str">
        <f>IF(AND(C25="Skema 1",B25="ma"),Arbejdstidsoversigt!$E$44,"")</f>
        <v/>
      </c>
      <c r="AH25" t="str">
        <f>IF(AND(C25="Skema 1",B25="ti"),Arbejdstidsoversigt!$E$45,"")</f>
        <v/>
      </c>
      <c r="AI25">
        <f>IF(AND(C25="Skema 1",B25="on"),Arbejdstidsoversigt!$E$46,"")</f>
        <v>0</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8"/>
        <v>0</v>
      </c>
      <c r="BB25" s="233">
        <f t="shared" si="9"/>
        <v>0</v>
      </c>
      <c r="BC25" s="1">
        <f t="shared" si="21"/>
        <v>0</v>
      </c>
      <c r="BD25" s="1">
        <f t="shared" si="10"/>
        <v>0</v>
      </c>
      <c r="BE25" s="1">
        <f t="shared" si="11"/>
        <v>0</v>
      </c>
      <c r="BF25" s="1">
        <f t="shared" si="12"/>
        <v>0</v>
      </c>
      <c r="BG25" s="214" t="str">
        <f>IF(AND(C25="Skema 1",B25="ma"),Skemaoplysninger!$E$30,"")</f>
        <v/>
      </c>
      <c r="BH25" s="214" t="str">
        <f>IF(AND(C25="Skema 1",B25="ti"),Skemaoplysninger!$F$30,"")</f>
        <v/>
      </c>
      <c r="BI25" s="214">
        <f>IF(AND(C25="Skema 1",B25="on"),Skemaoplysninger!$G$30,"")</f>
        <v>0</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3"/>
        <v>0</v>
      </c>
      <c r="CC25" s="1">
        <f t="shared" si="14"/>
        <v>0</v>
      </c>
      <c r="CD25" s="214" t="str">
        <f>IF(AND(C25="Skema 1",B25="ma"),Skemaoplysninger!$E$39,"")</f>
        <v/>
      </c>
      <c r="CE25" s="214" t="str">
        <f>IF(AND(C25="Skema 1",B25="ti"),Skemaoplysninger!$F$39,"")</f>
        <v/>
      </c>
      <c r="CF25" s="214">
        <f>IF(AND(C25="Skema 1",B25="on"),Skemaoplysninger!$G$39,"")</f>
        <v>0</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2",B25="fr"),Skemaoplysninger!$S$650,"")</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5"/>
        <v/>
      </c>
      <c r="DL25" t="str">
        <f t="shared" si="15"/>
        <v/>
      </c>
      <c r="DM25" t="str">
        <f t="shared" si="27"/>
        <v/>
      </c>
      <c r="DN25" t="str">
        <f t="shared" si="28"/>
        <v/>
      </c>
    </row>
    <row r="26" spans="1:118">
      <c r="A26" s="249">
        <f t="shared" si="16"/>
        <v>17</v>
      </c>
      <c r="B26" s="132" t="str">
        <f t="shared" si="0"/>
        <v>to</v>
      </c>
      <c r="C26" s="133" t="s">
        <v>209</v>
      </c>
      <c r="D26" s="134" t="str">
        <f t="shared" si="1"/>
        <v/>
      </c>
      <c r="E26" s="871"/>
      <c r="F26" s="872"/>
      <c r="G26" s="873"/>
      <c r="H26" s="313"/>
      <c r="I26" s="582"/>
      <c r="J26" s="440"/>
      <c r="K26" s="405"/>
      <c r="L26" s="405"/>
      <c r="M26" s="405"/>
      <c r="N26" s="334">
        <f t="shared" si="17"/>
        <v>0</v>
      </c>
      <c r="O26" s="334">
        <f t="shared" si="18"/>
        <v>0</v>
      </c>
      <c r="P26" s="334">
        <f>IF(Stamoplysninger!$H$29="JA",August!DG26,CX26)</f>
        <v>0</v>
      </c>
      <c r="Q26" s="334">
        <f t="shared" si="19"/>
        <v>0</v>
      </c>
      <c r="R26" s="439"/>
      <c r="S26" s="341"/>
      <c r="T26" s="342"/>
      <c r="U26" s="342"/>
      <c r="V26" s="336"/>
      <c r="W26" s="472"/>
      <c r="X26" s="337"/>
      <c r="Y26">
        <f t="shared" si="20"/>
        <v>0</v>
      </c>
      <c r="Z26">
        <f t="shared" si="2"/>
        <v>0</v>
      </c>
      <c r="AA26" s="1">
        <f t="shared" si="3"/>
        <v>0</v>
      </c>
      <c r="AB26" s="1">
        <f t="shared" si="4"/>
        <v>0</v>
      </c>
      <c r="AC26" s="1">
        <f t="shared" si="5"/>
        <v>0</v>
      </c>
      <c r="AD26" s="1">
        <f t="shared" si="6"/>
        <v>0</v>
      </c>
      <c r="AE26" s="1">
        <f t="shared" si="7"/>
        <v>0</v>
      </c>
      <c r="AF26" s="1">
        <f>IF(C26="Orlov",Stamoplysninger!$E$15*7.4,0)</f>
        <v>0</v>
      </c>
      <c r="AG26" t="str">
        <f>IF(AND(C26="Skema 1",B26="ma"),Arbejdstidsoversigt!$E$44,"")</f>
        <v/>
      </c>
      <c r="AH26" t="str">
        <f>IF(AND(C26="Skema 1",B26="ti"),Arbejdstidsoversigt!$E$45,"")</f>
        <v/>
      </c>
      <c r="AI26" t="str">
        <f>IF(AND(C26="Skema 1",B26="on"),Arbejdstidsoversigt!$E$46,"")</f>
        <v/>
      </c>
      <c r="AJ26">
        <f>IF(AND(C26="Skema 1",B26="to"),Arbejdstidsoversigt!$E$47,"")</f>
        <v>0</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8"/>
        <v>0</v>
      </c>
      <c r="BB26" s="233">
        <f t="shared" si="9"/>
        <v>0</v>
      </c>
      <c r="BC26" s="1">
        <f t="shared" si="21"/>
        <v>0</v>
      </c>
      <c r="BD26" s="1">
        <f t="shared" si="10"/>
        <v>0</v>
      </c>
      <c r="BE26" s="1">
        <f t="shared" si="11"/>
        <v>0</v>
      </c>
      <c r="BF26" s="1">
        <f t="shared" si="12"/>
        <v>0</v>
      </c>
      <c r="BG26" s="214" t="str">
        <f>IF(AND(C26="Skema 1",B26="ma"),Skemaoplysninger!$E$30,"")</f>
        <v/>
      </c>
      <c r="BH26" s="214" t="str">
        <f>IF(AND(C26="Skema 1",B26="ti"),Skemaoplysninger!$F$30,"")</f>
        <v/>
      </c>
      <c r="BI26" s="214" t="str">
        <f>IF(AND(C26="Skema 1",B26="on"),Skemaoplysninger!$G$30,"")</f>
        <v/>
      </c>
      <c r="BJ26" s="214">
        <f>IF(AND(C26="Skema 1",B26="to"),Skemaoplysninger!$H$30,"")</f>
        <v>0</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3"/>
        <v>0</v>
      </c>
      <c r="CC26" s="1">
        <f t="shared" si="14"/>
        <v>0</v>
      </c>
      <c r="CD26" s="214" t="str">
        <f>IF(AND(C26="Skema 1",B26="ma"),Skemaoplysninger!$E$39,"")</f>
        <v/>
      </c>
      <c r="CE26" s="214" t="str">
        <f>IF(AND(C26="Skema 1",B26="ti"),Skemaoplysninger!$F$39,"")</f>
        <v/>
      </c>
      <c r="CF26" s="214" t="str">
        <f>IF(AND(C26="Skema 1",B26="on"),Skemaoplysninger!$G$39,"")</f>
        <v/>
      </c>
      <c r="CG26" s="214">
        <f>IF(AND(C26="Skema 1",B26="to"),Skemaoplysninger!$H$39,"")</f>
        <v>0</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2",B26="fr"),Skemaoplysninger!$S$650,"")</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5"/>
        <v/>
      </c>
      <c r="DL26" t="str">
        <f t="shared" si="15"/>
        <v/>
      </c>
      <c r="DM26" t="str">
        <f t="shared" si="27"/>
        <v/>
      </c>
      <c r="DN26" t="str">
        <f t="shared" si="28"/>
        <v/>
      </c>
    </row>
    <row r="27" spans="1:118">
      <c r="A27" s="249">
        <f t="shared" si="16"/>
        <v>18</v>
      </c>
      <c r="B27" s="132" t="str">
        <f t="shared" si="0"/>
        <v>fr</v>
      </c>
      <c r="C27" s="133" t="s">
        <v>209</v>
      </c>
      <c r="D27" s="134" t="str">
        <f t="shared" si="1"/>
        <v/>
      </c>
      <c r="E27" s="871"/>
      <c r="F27" s="872"/>
      <c r="G27" s="873"/>
      <c r="H27" s="313"/>
      <c r="I27" s="582"/>
      <c r="J27" s="440"/>
      <c r="K27" s="405"/>
      <c r="L27" s="405"/>
      <c r="M27" s="405"/>
      <c r="N27" s="334">
        <f t="shared" si="17"/>
        <v>0</v>
      </c>
      <c r="O27" s="334">
        <f t="shared" si="18"/>
        <v>0</v>
      </c>
      <c r="P27" s="334">
        <f>IF(Stamoplysninger!$H$29="JA",August!DG27,CX27)</f>
        <v>0</v>
      </c>
      <c r="Q27" s="334">
        <f t="shared" si="19"/>
        <v>0</v>
      </c>
      <c r="R27" s="439"/>
      <c r="S27" s="341"/>
      <c r="T27" s="342"/>
      <c r="U27" s="342"/>
      <c r="V27" s="336"/>
      <c r="W27" s="472"/>
      <c r="X27" s="337"/>
      <c r="Y27">
        <f t="shared" si="20"/>
        <v>0</v>
      </c>
      <c r="Z27">
        <f t="shared" si="2"/>
        <v>0</v>
      </c>
      <c r="AA27" s="1">
        <f t="shared" si="3"/>
        <v>0</v>
      </c>
      <c r="AB27" s="1">
        <f t="shared" si="4"/>
        <v>0</v>
      </c>
      <c r="AC27" s="1">
        <f t="shared" si="5"/>
        <v>0</v>
      </c>
      <c r="AD27" s="1">
        <f t="shared" si="6"/>
        <v>0</v>
      </c>
      <c r="AE27" s="1">
        <f t="shared" si="7"/>
        <v>0</v>
      </c>
      <c r="AF27" s="1">
        <f>IF(C27="Orlov",Stamoplysninger!$E$15*7.4,0)</f>
        <v>0</v>
      </c>
      <c r="AG27" t="str">
        <f>IF(AND(C27="Skema 1",B27="ma"),Arbejdstidsoversigt!$E$44,"")</f>
        <v/>
      </c>
      <c r="AH27" t="str">
        <f>IF(AND(C27="Skema 1",B27="ti"),Arbejdstidsoversigt!$E$45,"")</f>
        <v/>
      </c>
      <c r="AI27" t="str">
        <f>IF(AND(C27="Skema 1",B27="on"),Arbejdstidsoversigt!$E$46,"")</f>
        <v/>
      </c>
      <c r="AJ27" t="str">
        <f>IF(AND(C27="Skema 1",B27="to"),Arbejdstidsoversigt!$E$47,"")</f>
        <v/>
      </c>
      <c r="AK27">
        <f>IF(AND(C27="Skema 1",B27="fr"),Arbejdstidsoversigt!$E$48,"")</f>
        <v>0</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8"/>
        <v>0</v>
      </c>
      <c r="BB27" s="233">
        <f t="shared" si="9"/>
        <v>0</v>
      </c>
      <c r="BC27" s="1">
        <f t="shared" si="21"/>
        <v>0</v>
      </c>
      <c r="BD27" s="1">
        <f t="shared" si="10"/>
        <v>0</v>
      </c>
      <c r="BE27" s="1">
        <f t="shared" si="11"/>
        <v>0</v>
      </c>
      <c r="BF27" s="1">
        <f t="shared" si="12"/>
        <v>0</v>
      </c>
      <c r="BG27" s="214" t="str">
        <f>IF(AND(C27="Skema 1",B27="ma"),Skemaoplysninger!$E$30,"")</f>
        <v/>
      </c>
      <c r="BH27" s="214" t="str">
        <f>IF(AND(C27="Skema 1",B27="ti"),Skemaoplysninger!$F$30,"")</f>
        <v/>
      </c>
      <c r="BI27" s="214" t="str">
        <f>IF(AND(C27="Skema 1",B27="on"),Skemaoplysninger!$G$30,"")</f>
        <v/>
      </c>
      <c r="BJ27" s="214" t="str">
        <f>IF(AND(C27="Skema 1",B27="to"),Skemaoplysninger!$H$30,"")</f>
        <v/>
      </c>
      <c r="BK27" s="214">
        <f>IF(AND(C27="Skema 1",B27="fr"),Skemaoplysninger!$I$30,"")</f>
        <v>0</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3"/>
        <v>0</v>
      </c>
      <c r="CC27" s="1">
        <f t="shared" si="14"/>
        <v>0</v>
      </c>
      <c r="CD27" s="214" t="str">
        <f>IF(AND(C27="Skema 1",B27="ma"),Skemaoplysninger!$E$39,"")</f>
        <v/>
      </c>
      <c r="CE27" s="214" t="str">
        <f>IF(AND(C27="Skema 1",B27="ti"),Skemaoplysninger!$F$39,"")</f>
        <v/>
      </c>
      <c r="CF27" s="214" t="str">
        <f>IF(AND(C27="Skema 1",B27="on"),Skemaoplysninger!$G$39,"")</f>
        <v/>
      </c>
      <c r="CG27" s="214" t="str">
        <f>IF(AND(C27="Skema 1",B27="to"),Skemaoplysninger!$H$39,"")</f>
        <v/>
      </c>
      <c r="CH27" s="214">
        <f>IF(AND(C27="Skema 1",B27="fr"),Skemaoplysninger!$I$39,"")</f>
        <v>0</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2",B27="fr"),Skemaoplysninger!$S$650,"")</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f t="shared" si="25"/>
        <v>0</v>
      </c>
      <c r="DJ27">
        <f t="shared" si="26"/>
        <v>0</v>
      </c>
      <c r="DK27" t="str">
        <f t="shared" si="15"/>
        <v/>
      </c>
      <c r="DL27" t="str">
        <f t="shared" si="15"/>
        <v/>
      </c>
      <c r="DM27" t="str">
        <f t="shared" si="27"/>
        <v/>
      </c>
      <c r="DN27" t="str">
        <f t="shared" si="28"/>
        <v/>
      </c>
    </row>
    <row r="28" spans="1:118">
      <c r="A28" s="249">
        <f t="shared" si="16"/>
        <v>19</v>
      </c>
      <c r="B28" s="132" t="str">
        <f t="shared" si="0"/>
        <v>lø</v>
      </c>
      <c r="C28" s="133" t="s">
        <v>121</v>
      </c>
      <c r="D28" s="134" t="str">
        <f t="shared" si="1"/>
        <v/>
      </c>
      <c r="E28" s="871"/>
      <c r="F28" s="872"/>
      <c r="G28" s="873"/>
      <c r="H28" s="313"/>
      <c r="I28" s="440"/>
      <c r="J28" s="440"/>
      <c r="K28" s="405"/>
      <c r="L28" s="405"/>
      <c r="M28" s="405"/>
      <c r="N28" s="334">
        <f t="shared" si="17"/>
        <v>0</v>
      </c>
      <c r="O28" s="334">
        <f t="shared" si="18"/>
        <v>0</v>
      </c>
      <c r="P28" s="334">
        <f>IF(Stamoplysninger!$H$29="JA",August!DG28,CX28)</f>
        <v>0</v>
      </c>
      <c r="Q28" s="334">
        <f t="shared" si="19"/>
        <v>0</v>
      </c>
      <c r="R28" s="439"/>
      <c r="S28" s="341"/>
      <c r="T28" s="342"/>
      <c r="U28" s="342"/>
      <c r="V28" s="336"/>
      <c r="W28" s="472"/>
      <c r="X28" s="337"/>
      <c r="Y28">
        <f t="shared" si="20"/>
        <v>0</v>
      </c>
      <c r="Z28">
        <f t="shared" si="2"/>
        <v>0</v>
      </c>
      <c r="AA28" s="1">
        <f t="shared" si="3"/>
        <v>0</v>
      </c>
      <c r="AB28" s="1">
        <f t="shared" si="4"/>
        <v>0</v>
      </c>
      <c r="AC28" s="1">
        <f t="shared" si="5"/>
        <v>0</v>
      </c>
      <c r="AD28" s="1">
        <f t="shared" si="6"/>
        <v>0</v>
      </c>
      <c r="AE28" s="1">
        <f t="shared" si="7"/>
        <v>0</v>
      </c>
      <c r="AF28" s="1">
        <f>IF(C28="Orlov",Stamoplysninger!$E$15*7.4,0)</f>
        <v>0</v>
      </c>
      <c r="AG28" t="str">
        <f>IF(AND(C28="Skema 1",B28="ma"),Arbejdstidsoversigt!$E$44,"")</f>
        <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8"/>
        <v>0</v>
      </c>
      <c r="BB28" s="233">
        <f t="shared" si="9"/>
        <v>0</v>
      </c>
      <c r="BC28" s="1">
        <f t="shared" si="21"/>
        <v>0</v>
      </c>
      <c r="BD28" s="1">
        <f t="shared" si="10"/>
        <v>0</v>
      </c>
      <c r="BE28" s="1">
        <f t="shared" si="11"/>
        <v>0</v>
      </c>
      <c r="BF28" s="1">
        <f t="shared" si="12"/>
        <v>0</v>
      </c>
      <c r="BG28" s="214" t="str">
        <f>IF(AND(C28="Skema 1",B28="ma"),Skemaoplysninger!$E$30,"")</f>
        <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3"/>
        <v>0</v>
      </c>
      <c r="CC28" s="1">
        <f t="shared" si="14"/>
        <v>0</v>
      </c>
      <c r="CD28" s="214" t="str">
        <f>IF(AND(C28="Skema 1",B28="ma"),Skemaoplysninger!$E$39,"")</f>
        <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2",B28="fr"),Skemaoplysninger!$S$650,"")</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5"/>
        <v/>
      </c>
      <c r="DL28" t="str">
        <f t="shared" si="15"/>
        <v/>
      </c>
      <c r="DM28" t="str">
        <f t="shared" si="27"/>
        <v/>
      </c>
      <c r="DN28" t="str">
        <f t="shared" si="28"/>
        <v/>
      </c>
    </row>
    <row r="29" spans="1:118">
      <c r="A29" s="249">
        <f t="shared" si="16"/>
        <v>20</v>
      </c>
      <c r="B29" s="132" t="str">
        <f t="shared" si="0"/>
        <v>sø</v>
      </c>
      <c r="C29" s="133" t="s">
        <v>121</v>
      </c>
      <c r="D29" s="134" t="str">
        <f t="shared" si="1"/>
        <v/>
      </c>
      <c r="E29" s="871"/>
      <c r="F29" s="872"/>
      <c r="G29" s="873"/>
      <c r="H29" s="313"/>
      <c r="I29" s="440"/>
      <c r="J29" s="440"/>
      <c r="K29" s="405"/>
      <c r="L29" s="405"/>
      <c r="M29" s="405"/>
      <c r="N29" s="334">
        <f t="shared" si="17"/>
        <v>0</v>
      </c>
      <c r="O29" s="334">
        <f t="shared" si="18"/>
        <v>0</v>
      </c>
      <c r="P29" s="334">
        <f>IF(Stamoplysninger!$H$29="JA",August!DG29,CX29)</f>
        <v>0</v>
      </c>
      <c r="Q29" s="334">
        <f t="shared" si="19"/>
        <v>0</v>
      </c>
      <c r="R29" s="439"/>
      <c r="S29" s="341"/>
      <c r="T29" s="342"/>
      <c r="U29" s="342"/>
      <c r="V29" s="336"/>
      <c r="W29" s="472"/>
      <c r="X29" s="337"/>
      <c r="Y29">
        <f t="shared" si="20"/>
        <v>0</v>
      </c>
      <c r="Z29">
        <f t="shared" si="2"/>
        <v>0</v>
      </c>
      <c r="AA29" s="1">
        <f t="shared" si="3"/>
        <v>0</v>
      </c>
      <c r="AB29" s="1">
        <f t="shared" si="4"/>
        <v>0</v>
      </c>
      <c r="AC29" s="1">
        <f t="shared" si="5"/>
        <v>0</v>
      </c>
      <c r="AD29" s="1">
        <f t="shared" si="6"/>
        <v>0</v>
      </c>
      <c r="AE29" s="1">
        <f t="shared" si="7"/>
        <v>0</v>
      </c>
      <c r="AF29" s="1">
        <f>IF(C29="Orlov",Stamoplysninger!$E$15*7.4,0)</f>
        <v>0</v>
      </c>
      <c r="AG29" t="str">
        <f>IF(AND(C29="Skema 1",B29="ma"),Arbejdstidsoversigt!$E$44,"")</f>
        <v/>
      </c>
      <c r="AH29" t="str">
        <f>IF(AND(C29="Skema 1",B29="ti"),Arbejdstidsoversigt!$E$45,"")</f>
        <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8"/>
        <v>0</v>
      </c>
      <c r="BB29" s="233">
        <f t="shared" si="9"/>
        <v>0</v>
      </c>
      <c r="BC29" s="1">
        <f t="shared" si="21"/>
        <v>0</v>
      </c>
      <c r="BD29" s="1">
        <f t="shared" si="10"/>
        <v>0</v>
      </c>
      <c r="BE29" s="1">
        <f t="shared" si="11"/>
        <v>0</v>
      </c>
      <c r="BF29" s="1">
        <f t="shared" si="12"/>
        <v>0</v>
      </c>
      <c r="BG29" s="214" t="str">
        <f>IF(AND(C29="Skema 1",B29="ma"),Skemaoplysninger!$E$30,"")</f>
        <v/>
      </c>
      <c r="BH29" s="214" t="str">
        <f>IF(AND(C29="Skema 1",B29="ti"),Skemaoplysninger!$F$30,"")</f>
        <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3"/>
        <v>0</v>
      </c>
      <c r="CC29" s="1">
        <f t="shared" si="14"/>
        <v>0</v>
      </c>
      <c r="CD29" s="214" t="str">
        <f>IF(AND(C29="Skema 1",B29="ma"),Skemaoplysninger!$E$39,"")</f>
        <v/>
      </c>
      <c r="CE29" s="214" t="str">
        <f>IF(AND(C29="Skema 1",B29="ti"),Skemaoplysninger!$F$39,"")</f>
        <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2",B29="fr"),Skemaoplysninger!$S$650,"")</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5"/>
        <v/>
      </c>
      <c r="DL29" t="str">
        <f t="shared" si="15"/>
        <v/>
      </c>
      <c r="DM29" t="str">
        <f t="shared" si="27"/>
        <v/>
      </c>
      <c r="DN29" t="str">
        <f t="shared" si="28"/>
        <v/>
      </c>
    </row>
    <row r="30" spans="1:118">
      <c r="A30" s="249">
        <f t="shared" si="16"/>
        <v>21</v>
      </c>
      <c r="B30" s="132" t="str">
        <f t="shared" si="0"/>
        <v>ma</v>
      </c>
      <c r="C30" s="133" t="s">
        <v>209</v>
      </c>
      <c r="D30" s="134">
        <f t="shared" si="1"/>
        <v>34.142857142857146</v>
      </c>
      <c r="E30" s="871"/>
      <c r="F30" s="872"/>
      <c r="G30" s="873"/>
      <c r="H30" s="313"/>
      <c r="I30" s="582"/>
      <c r="J30" s="440"/>
      <c r="K30" s="405"/>
      <c r="L30" s="405"/>
      <c r="M30" s="405"/>
      <c r="N30" s="334">
        <f t="shared" si="17"/>
        <v>0</v>
      </c>
      <c r="O30" s="334">
        <f t="shared" si="18"/>
        <v>0</v>
      </c>
      <c r="P30" s="334">
        <f>IF(Stamoplysninger!$H$29="JA",August!DG30,CX30)</f>
        <v>0</v>
      </c>
      <c r="Q30" s="334">
        <f t="shared" si="19"/>
        <v>0</v>
      </c>
      <c r="R30" s="439"/>
      <c r="S30" s="341"/>
      <c r="T30" s="342"/>
      <c r="U30" s="342"/>
      <c r="V30" s="336"/>
      <c r="W30" s="472"/>
      <c r="X30" s="337"/>
      <c r="Y30">
        <f t="shared" si="20"/>
        <v>0</v>
      </c>
      <c r="Z30">
        <f t="shared" si="2"/>
        <v>0</v>
      </c>
      <c r="AA30" s="1">
        <f t="shared" si="3"/>
        <v>0</v>
      </c>
      <c r="AB30" s="1">
        <f t="shared" si="4"/>
        <v>0</v>
      </c>
      <c r="AC30" s="1">
        <f t="shared" si="5"/>
        <v>0</v>
      </c>
      <c r="AD30" s="1">
        <f t="shared" si="6"/>
        <v>0</v>
      </c>
      <c r="AE30" s="1">
        <f t="shared" si="7"/>
        <v>0</v>
      </c>
      <c r="AF30" s="1">
        <f>IF(C30="Orlov",Stamoplysninger!$E$15*7.4,0)</f>
        <v>0</v>
      </c>
      <c r="AG30">
        <f>IF(AND(C30="Skema 1",B30="ma"),Arbejdstidsoversigt!$E$44,"")</f>
        <v>0</v>
      </c>
      <c r="AH30" t="str">
        <f>IF(AND(C30="Skema 1",B30="ti"),Arbejdstidsoversigt!$E$45,"")</f>
        <v/>
      </c>
      <c r="AI30" t="str">
        <f>IF(AND(C30="Skema 1",B30="on"),Arbejdstidsoversigt!$E$46,"")</f>
        <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8"/>
        <v>0</v>
      </c>
      <c r="BB30" s="233">
        <f t="shared" si="9"/>
        <v>0</v>
      </c>
      <c r="BC30" s="1">
        <f t="shared" si="21"/>
        <v>0</v>
      </c>
      <c r="BD30" s="1">
        <f t="shared" si="10"/>
        <v>0</v>
      </c>
      <c r="BE30" s="1">
        <f t="shared" si="11"/>
        <v>0</v>
      </c>
      <c r="BF30" s="1">
        <f t="shared" si="12"/>
        <v>0</v>
      </c>
      <c r="BG30" s="214">
        <f>IF(AND(C30="Skema 1",B30="ma"),Skemaoplysninger!$E$30,"")</f>
        <v>0</v>
      </c>
      <c r="BH30" s="214" t="str">
        <f>IF(AND(C30="Skema 1",B30="ti"),Skemaoplysninger!$F$30,"")</f>
        <v/>
      </c>
      <c r="BI30" s="214" t="str">
        <f>IF(AND(C30="Skema 1",B30="on"),Skemaoplysninger!$G$30,"")</f>
        <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3"/>
        <v>0</v>
      </c>
      <c r="CC30" s="1">
        <f t="shared" si="14"/>
        <v>0</v>
      </c>
      <c r="CD30" s="214">
        <f>IF(AND(C30="Skema 1",B30="ma"),Skemaoplysninger!$E$39,"")</f>
        <v>0</v>
      </c>
      <c r="CE30" s="214" t="str">
        <f>IF(AND(C30="Skema 1",B30="ti"),Skemaoplysninger!$F$39,"")</f>
        <v/>
      </c>
      <c r="CF30" s="214" t="str">
        <f>IF(AND(C30="Skema 1",B30="on"),Skemaoplysninger!$G$39,"")</f>
        <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2",B30="fr"),Skemaoplysninger!$S$650,"")</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5"/>
        <v/>
      </c>
      <c r="DL30" t="str">
        <f t="shared" si="15"/>
        <v/>
      </c>
      <c r="DM30" t="str">
        <f t="shared" si="27"/>
        <v/>
      </c>
      <c r="DN30" t="str">
        <f t="shared" si="28"/>
        <v/>
      </c>
    </row>
    <row r="31" spans="1:118">
      <c r="A31" s="249">
        <f t="shared" si="16"/>
        <v>22</v>
      </c>
      <c r="B31" s="132" t="str">
        <f t="shared" si="0"/>
        <v>ti</v>
      </c>
      <c r="C31" s="133" t="s">
        <v>209</v>
      </c>
      <c r="D31" s="134" t="str">
        <f t="shared" si="1"/>
        <v/>
      </c>
      <c r="E31" s="871"/>
      <c r="F31" s="872"/>
      <c r="G31" s="873"/>
      <c r="H31" s="313"/>
      <c r="I31" s="582"/>
      <c r="J31" s="440"/>
      <c r="K31" s="405"/>
      <c r="L31" s="405"/>
      <c r="M31" s="405"/>
      <c r="N31" s="334">
        <f t="shared" si="17"/>
        <v>0</v>
      </c>
      <c r="O31" s="334">
        <f t="shared" si="18"/>
        <v>0</v>
      </c>
      <c r="P31" s="334">
        <f>IF(Stamoplysninger!$H$29="JA",August!DG31,CX31)</f>
        <v>0</v>
      </c>
      <c r="Q31" s="334">
        <f t="shared" si="19"/>
        <v>0</v>
      </c>
      <c r="R31" s="439"/>
      <c r="S31" s="341"/>
      <c r="T31" s="342"/>
      <c r="U31" s="342"/>
      <c r="V31" s="336"/>
      <c r="W31" s="472"/>
      <c r="X31" s="337"/>
      <c r="Y31">
        <f t="shared" si="20"/>
        <v>0</v>
      </c>
      <c r="Z31">
        <f t="shared" si="2"/>
        <v>0</v>
      </c>
      <c r="AA31" s="1">
        <f t="shared" si="3"/>
        <v>0</v>
      </c>
      <c r="AB31" s="1">
        <f t="shared" si="4"/>
        <v>0</v>
      </c>
      <c r="AC31" s="1">
        <f t="shared" si="5"/>
        <v>0</v>
      </c>
      <c r="AD31" s="1">
        <f t="shared" si="6"/>
        <v>0</v>
      </c>
      <c r="AE31" s="1">
        <f t="shared" si="7"/>
        <v>0</v>
      </c>
      <c r="AF31" s="1">
        <f>IF(C31="Orlov",Stamoplysninger!$E$15*7.4,0)</f>
        <v>0</v>
      </c>
      <c r="AG31" t="str">
        <f>IF(AND(C31="Skema 1",B31="ma"),Arbejdstidsoversigt!$E$44,"")</f>
        <v/>
      </c>
      <c r="AH31">
        <f>IF(AND(C31="Skema 1",B31="ti"),Arbejdstidsoversigt!$E$45,"")</f>
        <v>0</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8"/>
        <v>0</v>
      </c>
      <c r="BB31" s="233">
        <f t="shared" si="9"/>
        <v>0</v>
      </c>
      <c r="BC31" s="1">
        <f t="shared" si="21"/>
        <v>0</v>
      </c>
      <c r="BD31" s="1">
        <f t="shared" si="10"/>
        <v>0</v>
      </c>
      <c r="BE31" s="1">
        <f t="shared" si="11"/>
        <v>0</v>
      </c>
      <c r="BF31" s="1">
        <f t="shared" si="12"/>
        <v>0</v>
      </c>
      <c r="BG31" s="214" t="str">
        <f>IF(AND(C31="Skema 1",B31="ma"),Skemaoplysninger!$E$30,"")</f>
        <v/>
      </c>
      <c r="BH31" s="214">
        <f>IF(AND(C31="Skema 1",B31="ti"),Skemaoplysninger!$F$30,"")</f>
        <v>0</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3"/>
        <v>0</v>
      </c>
      <c r="CC31" s="1">
        <f t="shared" si="14"/>
        <v>0</v>
      </c>
      <c r="CD31" s="214" t="str">
        <f>IF(AND(C31="Skema 1",B31="ma"),Skemaoplysninger!$E$39,"")</f>
        <v/>
      </c>
      <c r="CE31" s="214">
        <f>IF(AND(C31="Skema 1",B31="ti"),Skemaoplysninger!$F$39,"")</f>
        <v>0</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2",B31="fr"),Skemaoplysninger!$S$650,"")</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5"/>
        <v/>
      </c>
      <c r="DL31" t="str">
        <f t="shared" si="15"/>
        <v/>
      </c>
      <c r="DM31" t="str">
        <f t="shared" si="27"/>
        <v/>
      </c>
      <c r="DN31" t="str">
        <f t="shared" si="28"/>
        <v/>
      </c>
    </row>
    <row r="32" spans="1:118">
      <c r="A32" s="249">
        <f t="shared" si="16"/>
        <v>23</v>
      </c>
      <c r="B32" s="132" t="str">
        <f t="shared" si="0"/>
        <v>on</v>
      </c>
      <c r="C32" s="133" t="s">
        <v>209</v>
      </c>
      <c r="D32" s="134" t="str">
        <f t="shared" si="1"/>
        <v/>
      </c>
      <c r="E32" s="871"/>
      <c r="F32" s="872"/>
      <c r="G32" s="873"/>
      <c r="H32" s="313"/>
      <c r="I32" s="582"/>
      <c r="J32" s="440"/>
      <c r="K32" s="405"/>
      <c r="L32" s="405"/>
      <c r="M32" s="405"/>
      <c r="N32" s="334">
        <f t="shared" si="17"/>
        <v>0</v>
      </c>
      <c r="O32" s="334">
        <f t="shared" si="18"/>
        <v>0</v>
      </c>
      <c r="P32" s="334">
        <f>IF(Stamoplysninger!$H$29="JA",August!DG32,CX32)</f>
        <v>0</v>
      </c>
      <c r="Q32" s="334">
        <f t="shared" si="19"/>
        <v>0</v>
      </c>
      <c r="R32" s="439"/>
      <c r="S32" s="341"/>
      <c r="T32" s="342"/>
      <c r="U32" s="342"/>
      <c r="V32" s="336"/>
      <c r="W32" s="472"/>
      <c r="X32" s="337"/>
      <c r="Y32">
        <f t="shared" si="20"/>
        <v>0</v>
      </c>
      <c r="Z32">
        <f t="shared" si="2"/>
        <v>0</v>
      </c>
      <c r="AA32" s="1">
        <f t="shared" si="3"/>
        <v>0</v>
      </c>
      <c r="AB32" s="1">
        <f t="shared" si="4"/>
        <v>0</v>
      </c>
      <c r="AC32" s="1">
        <f t="shared" si="5"/>
        <v>0</v>
      </c>
      <c r="AD32" s="1">
        <f t="shared" si="6"/>
        <v>0</v>
      </c>
      <c r="AE32" s="1">
        <f t="shared" si="7"/>
        <v>0</v>
      </c>
      <c r="AF32" s="1">
        <f>IF(C32="Orlov",Stamoplysninger!$E$15*7.4,0)</f>
        <v>0</v>
      </c>
      <c r="AG32" t="str">
        <f>IF(AND(C32="Skema 1",B32="ma"),Arbejdstidsoversigt!$E$44,"")</f>
        <v/>
      </c>
      <c r="AH32" t="str">
        <f>IF(AND(C32="Skema 1",B32="ti"),Arbejdstidsoversigt!$E$45,"")</f>
        <v/>
      </c>
      <c r="AI32">
        <f>IF(AND(C32="Skema 1",B32="on"),Arbejdstidsoversigt!$E$46,"")</f>
        <v>0</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8"/>
        <v>0</v>
      </c>
      <c r="BB32" s="233">
        <f t="shared" si="9"/>
        <v>0</v>
      </c>
      <c r="BC32" s="1">
        <f t="shared" si="21"/>
        <v>0</v>
      </c>
      <c r="BD32" s="1">
        <f t="shared" si="10"/>
        <v>0</v>
      </c>
      <c r="BE32" s="1">
        <f t="shared" si="11"/>
        <v>0</v>
      </c>
      <c r="BF32" s="1">
        <f t="shared" si="12"/>
        <v>0</v>
      </c>
      <c r="BG32" s="214" t="str">
        <f>IF(AND(C32="Skema 1",B32="ma"),Skemaoplysninger!$E$30,"")</f>
        <v/>
      </c>
      <c r="BH32" s="214" t="str">
        <f>IF(AND(C32="Skema 1",B32="ti"),Skemaoplysninger!$F$30,"")</f>
        <v/>
      </c>
      <c r="BI32" s="214">
        <f>IF(AND(C32="Skema 1",B32="on"),Skemaoplysninger!$G$30,"")</f>
        <v>0</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3"/>
        <v>0</v>
      </c>
      <c r="CC32" s="1">
        <f t="shared" si="14"/>
        <v>0</v>
      </c>
      <c r="CD32" s="214" t="str">
        <f>IF(AND(C32="Skema 1",B32="ma"),Skemaoplysninger!$E$39,"")</f>
        <v/>
      </c>
      <c r="CE32" s="214" t="str">
        <f>IF(AND(C32="Skema 1",B32="ti"),Skemaoplysninger!$F$39,"")</f>
        <v/>
      </c>
      <c r="CF32" s="214">
        <f>IF(AND(C32="Skema 1",B32="on"),Skemaoplysninger!$G$39,"")</f>
        <v>0</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2",B32="fr"),Skemaoplysninger!$S$650,"")</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f t="shared" si="25"/>
        <v>0</v>
      </c>
      <c r="DJ32">
        <f t="shared" si="26"/>
        <v>0</v>
      </c>
      <c r="DK32" t="str">
        <f t="shared" si="15"/>
        <v/>
      </c>
      <c r="DL32" t="str">
        <f t="shared" si="15"/>
        <v/>
      </c>
      <c r="DM32" t="str">
        <f t="shared" si="27"/>
        <v/>
      </c>
      <c r="DN32" t="str">
        <f t="shared" si="28"/>
        <v/>
      </c>
    </row>
    <row r="33" spans="1:118">
      <c r="A33" s="249">
        <f t="shared" si="16"/>
        <v>24</v>
      </c>
      <c r="B33" s="132" t="str">
        <f t="shared" si="0"/>
        <v>to</v>
      </c>
      <c r="C33" s="133" t="s">
        <v>209</v>
      </c>
      <c r="D33" s="134" t="str">
        <f t="shared" si="1"/>
        <v/>
      </c>
      <c r="E33" s="868"/>
      <c r="F33" s="869"/>
      <c r="G33" s="870"/>
      <c r="H33" s="313"/>
      <c r="I33" s="582"/>
      <c r="J33" s="440"/>
      <c r="K33" s="405"/>
      <c r="L33" s="405"/>
      <c r="M33" s="405"/>
      <c r="N33" s="334">
        <f t="shared" si="17"/>
        <v>0</v>
      </c>
      <c r="O33" s="334">
        <f t="shared" si="18"/>
        <v>0</v>
      </c>
      <c r="P33" s="334">
        <f>IF(Stamoplysninger!$H$29="JA",August!DG33,CX33)</f>
        <v>0</v>
      </c>
      <c r="Q33" s="334">
        <f t="shared" si="19"/>
        <v>0</v>
      </c>
      <c r="R33" s="439"/>
      <c r="S33" s="341"/>
      <c r="T33" s="342"/>
      <c r="U33" s="342"/>
      <c r="V33" s="336"/>
      <c r="W33" s="472"/>
      <c r="X33" s="337"/>
      <c r="Y33">
        <f t="shared" si="20"/>
        <v>0</v>
      </c>
      <c r="Z33">
        <f t="shared" si="2"/>
        <v>0</v>
      </c>
      <c r="AA33" s="1">
        <f t="shared" si="3"/>
        <v>0</v>
      </c>
      <c r="AB33" s="1">
        <f t="shared" si="4"/>
        <v>0</v>
      </c>
      <c r="AC33" s="1">
        <f t="shared" si="5"/>
        <v>0</v>
      </c>
      <c r="AD33" s="1">
        <f t="shared" si="6"/>
        <v>0</v>
      </c>
      <c r="AE33" s="1">
        <f t="shared" si="7"/>
        <v>0</v>
      </c>
      <c r="AF33" s="1">
        <f>IF(C33="Orlov",Stamoplysninger!$E$15*7.4,0)</f>
        <v>0</v>
      </c>
      <c r="AG33" t="str">
        <f>IF(AND(C33="Skema 1",B33="ma"),Arbejdstidsoversigt!$E$44,"")</f>
        <v/>
      </c>
      <c r="AH33" t="str">
        <f>IF(AND(C33="Skema 1",B33="ti"),Arbejdstidsoversigt!$E$45,"")</f>
        <v/>
      </c>
      <c r="AI33" t="str">
        <f>IF(AND(C33="Skema 1",B33="on"),Arbejdstidsoversigt!$E$46,"")</f>
        <v/>
      </c>
      <c r="AJ33">
        <f>IF(AND(C33="Skema 1",B33="to"),Arbejdstidsoversigt!$E$47,"")</f>
        <v>0</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8"/>
        <v>0</v>
      </c>
      <c r="BB33" s="233">
        <f t="shared" si="9"/>
        <v>0</v>
      </c>
      <c r="BC33" s="1">
        <f t="shared" si="21"/>
        <v>0</v>
      </c>
      <c r="BD33" s="1">
        <f t="shared" si="10"/>
        <v>0</v>
      </c>
      <c r="BE33" s="1">
        <f t="shared" si="11"/>
        <v>0</v>
      </c>
      <c r="BF33" s="1">
        <f t="shared" si="12"/>
        <v>0</v>
      </c>
      <c r="BG33" s="214" t="str">
        <f>IF(AND(C33="Skema 1",B33="ma"),Skemaoplysninger!$E$30,"")</f>
        <v/>
      </c>
      <c r="BH33" s="214" t="str">
        <f>IF(AND(C33="Skema 1",B33="ti"),Skemaoplysninger!$F$30,"")</f>
        <v/>
      </c>
      <c r="BI33" s="214" t="str">
        <f>IF(AND(C33="Skema 1",B33="on"),Skemaoplysninger!$G$30,"")</f>
        <v/>
      </c>
      <c r="BJ33" s="214">
        <f>IF(AND(C33="Skema 1",B33="to"),Skemaoplysninger!$H$30,"")</f>
        <v>0</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3"/>
        <v>0</v>
      </c>
      <c r="CC33" s="1">
        <f t="shared" si="14"/>
        <v>0</v>
      </c>
      <c r="CD33" s="214" t="str">
        <f>IF(AND(C33="Skema 1",B33="ma"),Skemaoplysninger!$E$39,"")</f>
        <v/>
      </c>
      <c r="CE33" s="214" t="str">
        <f>IF(AND(C33="Skema 1",B33="ti"),Skemaoplysninger!$F$39,"")</f>
        <v/>
      </c>
      <c r="CF33" s="214" t="str">
        <f>IF(AND(C33="Skema 1",B33="on"),Skemaoplysninger!$G$39,"")</f>
        <v/>
      </c>
      <c r="CG33" s="214">
        <f>IF(AND(C33="Skema 1",B33="to"),Skemaoplysninger!$H$39,"")</f>
        <v>0</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2",B33="fr"),Skemaoplysninger!$S$650,"")</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5"/>
        <v/>
      </c>
      <c r="DL33" t="str">
        <f t="shared" si="15"/>
        <v/>
      </c>
      <c r="DM33" t="str">
        <f t="shared" si="27"/>
        <v/>
      </c>
      <c r="DN33" t="str">
        <f t="shared" si="28"/>
        <v/>
      </c>
    </row>
    <row r="34" spans="1:118">
      <c r="A34" s="249">
        <f t="shared" si="16"/>
        <v>25</v>
      </c>
      <c r="B34" s="132" t="str">
        <f t="shared" si="0"/>
        <v>fr</v>
      </c>
      <c r="C34" s="133" t="s">
        <v>209</v>
      </c>
      <c r="D34" s="134" t="str">
        <f t="shared" si="1"/>
        <v/>
      </c>
      <c r="E34" s="871"/>
      <c r="F34" s="872"/>
      <c r="G34" s="873"/>
      <c r="H34" s="313"/>
      <c r="I34" s="582"/>
      <c r="J34" s="440"/>
      <c r="K34" s="405"/>
      <c r="L34" s="405"/>
      <c r="M34" s="405"/>
      <c r="N34" s="334">
        <f t="shared" si="17"/>
        <v>0</v>
      </c>
      <c r="O34" s="334">
        <f t="shared" si="18"/>
        <v>0</v>
      </c>
      <c r="P34" s="334">
        <f>IF(Stamoplysninger!$H$29="JA",August!DG34,CX34)</f>
        <v>0</v>
      </c>
      <c r="Q34" s="334">
        <f t="shared" si="19"/>
        <v>0</v>
      </c>
      <c r="R34" s="439"/>
      <c r="S34" s="341"/>
      <c r="T34" s="342"/>
      <c r="U34" s="342"/>
      <c r="V34" s="336"/>
      <c r="W34" s="472"/>
      <c r="X34" s="337"/>
      <c r="Y34">
        <f t="shared" si="20"/>
        <v>0</v>
      </c>
      <c r="Z34">
        <f t="shared" si="2"/>
        <v>0</v>
      </c>
      <c r="AA34" s="1">
        <f t="shared" si="3"/>
        <v>0</v>
      </c>
      <c r="AB34" s="1">
        <f t="shared" si="4"/>
        <v>0</v>
      </c>
      <c r="AC34" s="1">
        <f t="shared" si="5"/>
        <v>0</v>
      </c>
      <c r="AD34" s="1">
        <f t="shared" si="6"/>
        <v>0</v>
      </c>
      <c r="AE34" s="1">
        <f t="shared" si="7"/>
        <v>0</v>
      </c>
      <c r="AF34" s="1">
        <f>IF(C34="Orlov",Stamoplysninger!$E$15*7.4,0)</f>
        <v>0</v>
      </c>
      <c r="AG34" t="str">
        <f>IF(AND(C34="Skema 1",B34="ma"),Arbejdstidsoversigt!$E$44,"")</f>
        <v/>
      </c>
      <c r="AH34" t="str">
        <f>IF(AND(C34="Skema 1",B34="ti"),Arbejdstidsoversigt!$E$45,"")</f>
        <v/>
      </c>
      <c r="AI34" t="str">
        <f>IF(AND(C34="Skema 1",B34="on"),Arbejdstidsoversigt!$E$46,"")</f>
        <v/>
      </c>
      <c r="AJ34" t="str">
        <f>IF(AND(C34="Skema 1",B34="to"),Arbejdstidsoversigt!$E$47,"")</f>
        <v/>
      </c>
      <c r="AK34">
        <f>IF(AND(C34="Skema 1",B34="fr"),Arbejdstidsoversigt!$E$48,"")</f>
        <v>0</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8"/>
        <v>0</v>
      </c>
      <c r="BB34" s="233">
        <f t="shared" si="9"/>
        <v>0</v>
      </c>
      <c r="BC34" s="1">
        <f t="shared" si="21"/>
        <v>0</v>
      </c>
      <c r="BD34" s="1">
        <f t="shared" si="10"/>
        <v>0</v>
      </c>
      <c r="BE34" s="1">
        <f t="shared" si="11"/>
        <v>0</v>
      </c>
      <c r="BF34" s="1">
        <f t="shared" si="12"/>
        <v>0</v>
      </c>
      <c r="BG34" s="214" t="str">
        <f>IF(AND(C34="Skema 1",B34="ma"),Skemaoplysninger!$E$30,"")</f>
        <v/>
      </c>
      <c r="BH34" s="214" t="str">
        <f>IF(AND(C34="Skema 1",B34="ti"),Skemaoplysninger!$F$30,"")</f>
        <v/>
      </c>
      <c r="BI34" s="214" t="str">
        <f>IF(AND(C34="Skema 1",B34="on"),Skemaoplysninger!$G$30,"")</f>
        <v/>
      </c>
      <c r="BJ34" s="214" t="str">
        <f>IF(AND(C34="Skema 1",B34="to"),Skemaoplysninger!$H$30,"")</f>
        <v/>
      </c>
      <c r="BK34" s="214">
        <f>IF(AND(C34="Skema 1",B34="fr"),Skemaoplysninger!$I$30,"")</f>
        <v>0</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3"/>
        <v>0</v>
      </c>
      <c r="CC34" s="1">
        <f t="shared" si="14"/>
        <v>0</v>
      </c>
      <c r="CD34" s="214" t="str">
        <f>IF(AND(C34="Skema 1",B34="ma"),Skemaoplysninger!$E$39,"")</f>
        <v/>
      </c>
      <c r="CE34" s="214" t="str">
        <f>IF(AND(C34="Skema 1",B34="ti"),Skemaoplysninger!$F$39,"")</f>
        <v/>
      </c>
      <c r="CF34" s="214" t="str">
        <f>IF(AND(C34="Skema 1",B34="on"),Skemaoplysninger!$G$39,"")</f>
        <v/>
      </c>
      <c r="CG34" s="214" t="str">
        <f>IF(AND(C34="Skema 1",B34="to"),Skemaoplysninger!$H$39,"")</f>
        <v/>
      </c>
      <c r="CH34" s="214">
        <f>IF(AND(C34="Skema 1",B34="fr"),Skemaoplysninger!$I$39,"")</f>
        <v>0</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2",B34="fr"),Skemaoplysninger!$S$650,"")</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5"/>
        <v/>
      </c>
      <c r="DL34" t="str">
        <f t="shared" si="15"/>
        <v/>
      </c>
      <c r="DM34" t="str">
        <f t="shared" si="27"/>
        <v/>
      </c>
      <c r="DN34" t="str">
        <f t="shared" si="28"/>
        <v/>
      </c>
    </row>
    <row r="35" spans="1:118">
      <c r="A35" s="249">
        <f t="shared" si="16"/>
        <v>26</v>
      </c>
      <c r="B35" s="132" t="str">
        <f t="shared" si="0"/>
        <v>lø</v>
      </c>
      <c r="C35" s="133" t="s">
        <v>121</v>
      </c>
      <c r="D35" s="134" t="str">
        <f t="shared" si="1"/>
        <v/>
      </c>
      <c r="E35" s="871"/>
      <c r="F35" s="872"/>
      <c r="G35" s="873"/>
      <c r="H35" s="313"/>
      <c r="I35" s="440"/>
      <c r="J35" s="440"/>
      <c r="K35" s="405"/>
      <c r="L35" s="405"/>
      <c r="M35" s="405"/>
      <c r="N35" s="334">
        <f t="shared" si="17"/>
        <v>0</v>
      </c>
      <c r="O35" s="334">
        <f t="shared" si="18"/>
        <v>0</v>
      </c>
      <c r="P35" s="334">
        <f>IF(Stamoplysninger!$H$29="JA",August!DG35,CX35)</f>
        <v>0</v>
      </c>
      <c r="Q35" s="334">
        <f t="shared" si="19"/>
        <v>0</v>
      </c>
      <c r="R35" s="439"/>
      <c r="S35" s="341"/>
      <c r="T35" s="342"/>
      <c r="U35" s="342"/>
      <c r="V35" s="336"/>
      <c r="W35" s="472"/>
      <c r="X35" s="337"/>
      <c r="Y35">
        <f t="shared" si="20"/>
        <v>0</v>
      </c>
      <c r="Z35">
        <f t="shared" si="2"/>
        <v>0</v>
      </c>
      <c r="AA35" s="1">
        <f t="shared" si="3"/>
        <v>0</v>
      </c>
      <c r="AB35" s="1">
        <f t="shared" si="4"/>
        <v>0</v>
      </c>
      <c r="AC35" s="1">
        <f t="shared" si="5"/>
        <v>0</v>
      </c>
      <c r="AD35" s="1">
        <f t="shared" si="6"/>
        <v>0</v>
      </c>
      <c r="AE35" s="1">
        <f t="shared" si="7"/>
        <v>0</v>
      </c>
      <c r="AF35" s="1">
        <f>IF(C35="Orlov",Stamoplysninger!$E$15*7.4,0)</f>
        <v>0</v>
      </c>
      <c r="AG35" t="str">
        <f>IF(AND(C35="Skema 1",B35="ma"),Arbejdstidsoversigt!$E$44,"")</f>
        <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8"/>
        <v>0</v>
      </c>
      <c r="BB35" s="233">
        <f t="shared" si="9"/>
        <v>0</v>
      </c>
      <c r="BC35" s="1">
        <f t="shared" si="21"/>
        <v>0</v>
      </c>
      <c r="BD35" s="1">
        <f t="shared" si="10"/>
        <v>0</v>
      </c>
      <c r="BE35" s="1">
        <f t="shared" si="11"/>
        <v>0</v>
      </c>
      <c r="BF35" s="1">
        <f t="shared" si="12"/>
        <v>0</v>
      </c>
      <c r="BG35" s="214" t="str">
        <f>IF(AND(C35="Skema 1",B35="ma"),Skemaoplysninger!$E$30,"")</f>
        <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3"/>
        <v>0</v>
      </c>
      <c r="CC35" s="1">
        <f t="shared" si="14"/>
        <v>0</v>
      </c>
      <c r="CD35" s="214" t="str">
        <f>IF(AND(C35="Skema 1",B35="ma"),Skemaoplysninger!$E$39,"")</f>
        <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2",B35="fr"),Skemaoplysninger!$S$650,"")</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5"/>
        <v/>
      </c>
      <c r="DL35" t="str">
        <f t="shared" si="15"/>
        <v/>
      </c>
      <c r="DM35" t="str">
        <f t="shared" si="27"/>
        <v/>
      </c>
      <c r="DN35" t="str">
        <f t="shared" si="28"/>
        <v/>
      </c>
    </row>
    <row r="36" spans="1:118">
      <c r="A36" s="249">
        <f t="shared" si="16"/>
        <v>27</v>
      </c>
      <c r="B36" s="132" t="str">
        <f t="shared" si="0"/>
        <v>sø</v>
      </c>
      <c r="C36" s="133" t="s">
        <v>121</v>
      </c>
      <c r="D36" s="134" t="str">
        <f t="shared" si="1"/>
        <v/>
      </c>
      <c r="E36" s="871"/>
      <c r="F36" s="872"/>
      <c r="G36" s="873"/>
      <c r="H36" s="313"/>
      <c r="I36" s="440"/>
      <c r="J36" s="440"/>
      <c r="K36" s="405"/>
      <c r="L36" s="405"/>
      <c r="M36" s="405"/>
      <c r="N36" s="334">
        <f t="shared" si="17"/>
        <v>0</v>
      </c>
      <c r="O36" s="334">
        <f t="shared" si="18"/>
        <v>0</v>
      </c>
      <c r="P36" s="334">
        <f>IF(Stamoplysninger!$H$29="JA",August!DG36,CX36)</f>
        <v>0</v>
      </c>
      <c r="Q36" s="334">
        <f t="shared" si="19"/>
        <v>0</v>
      </c>
      <c r="R36" s="439"/>
      <c r="S36" s="341"/>
      <c r="T36" s="342"/>
      <c r="U36" s="342"/>
      <c r="V36" s="336"/>
      <c r="W36" s="472"/>
      <c r="X36" s="337"/>
      <c r="Y36">
        <f t="shared" si="20"/>
        <v>0</v>
      </c>
      <c r="Z36">
        <f t="shared" si="2"/>
        <v>0</v>
      </c>
      <c r="AA36" s="1">
        <f t="shared" si="3"/>
        <v>0</v>
      </c>
      <c r="AB36" s="1">
        <f t="shared" si="4"/>
        <v>0</v>
      </c>
      <c r="AC36" s="1">
        <f t="shared" si="5"/>
        <v>0</v>
      </c>
      <c r="AD36" s="1">
        <f t="shared" si="6"/>
        <v>0</v>
      </c>
      <c r="AE36" s="1">
        <f t="shared" si="7"/>
        <v>0</v>
      </c>
      <c r="AF36" s="1">
        <f>IF(C36="Orlov",Stamoplysninger!$E$15*7.4,0)</f>
        <v>0</v>
      </c>
      <c r="AG36" t="str">
        <f>IF(AND(C36="Skema 1",B36="ma"),Arbejdstidsoversigt!$E$44,"")</f>
        <v/>
      </c>
      <c r="AH36" t="str">
        <f>IF(AND(C36="Skema 1",B36="ti"),Arbejdstidsoversigt!$E$45,"")</f>
        <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8"/>
        <v>0</v>
      </c>
      <c r="BB36" s="233">
        <f t="shared" si="9"/>
        <v>0</v>
      </c>
      <c r="BC36" s="1">
        <f t="shared" si="21"/>
        <v>0</v>
      </c>
      <c r="BD36" s="1">
        <f t="shared" si="10"/>
        <v>0</v>
      </c>
      <c r="BE36" s="1">
        <f t="shared" si="11"/>
        <v>0</v>
      </c>
      <c r="BF36" s="1">
        <f t="shared" si="12"/>
        <v>0</v>
      </c>
      <c r="BG36" s="214" t="str">
        <f>IF(AND(C36="Skema 1",B36="ma"),Skemaoplysninger!$E$30,"")</f>
        <v/>
      </c>
      <c r="BH36" s="214" t="str">
        <f>IF(AND(C36="Skema 1",B36="ti"),Skemaoplysninger!$F$30,"")</f>
        <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3"/>
        <v>0</v>
      </c>
      <c r="CC36" s="1">
        <f t="shared" si="14"/>
        <v>0</v>
      </c>
      <c r="CD36" s="214" t="str">
        <f>IF(AND(C36="Skema 1",B36="ma"),Skemaoplysninger!$E$39,"")</f>
        <v/>
      </c>
      <c r="CE36" s="214" t="str">
        <f>IF(AND(C36="Skema 1",B36="ti"),Skemaoplysninger!$F$39,"")</f>
        <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2",B36="fr"),Skemaoplysninger!$S$650,"")</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5"/>
        <v/>
      </c>
      <c r="DL36" t="str">
        <f t="shared" si="15"/>
        <v/>
      </c>
      <c r="DM36" t="str">
        <f t="shared" si="27"/>
        <v/>
      </c>
      <c r="DN36" t="str">
        <f t="shared" si="28"/>
        <v/>
      </c>
    </row>
    <row r="37" spans="1:118">
      <c r="A37" s="249">
        <f t="shared" si="16"/>
        <v>28</v>
      </c>
      <c r="B37" s="132" t="str">
        <f t="shared" si="0"/>
        <v>ma</v>
      </c>
      <c r="C37" s="133" t="s">
        <v>209</v>
      </c>
      <c r="D37" s="134">
        <f t="shared" si="1"/>
        <v>35.142857142857146</v>
      </c>
      <c r="E37" s="871"/>
      <c r="F37" s="872"/>
      <c r="G37" s="873"/>
      <c r="H37" s="313"/>
      <c r="I37" s="582"/>
      <c r="J37" s="440"/>
      <c r="K37" s="405"/>
      <c r="L37" s="405"/>
      <c r="M37" s="405"/>
      <c r="N37" s="334">
        <f t="shared" si="17"/>
        <v>0</v>
      </c>
      <c r="O37" s="334">
        <f t="shared" si="18"/>
        <v>0</v>
      </c>
      <c r="P37" s="334">
        <f>IF(Stamoplysninger!$H$29="JA",August!DG37,CX37)</f>
        <v>0</v>
      </c>
      <c r="Q37" s="334">
        <f t="shared" si="19"/>
        <v>0</v>
      </c>
      <c r="R37" s="439"/>
      <c r="S37" s="341"/>
      <c r="T37" s="342"/>
      <c r="U37" s="342"/>
      <c r="V37" s="336"/>
      <c r="W37" s="472"/>
      <c r="X37" s="337"/>
      <c r="Y37">
        <f t="shared" si="20"/>
        <v>0</v>
      </c>
      <c r="Z37">
        <f t="shared" si="2"/>
        <v>0</v>
      </c>
      <c r="AA37" s="1">
        <f t="shared" si="3"/>
        <v>0</v>
      </c>
      <c r="AB37" s="1">
        <f t="shared" si="4"/>
        <v>0</v>
      </c>
      <c r="AC37" s="1">
        <f t="shared" si="5"/>
        <v>0</v>
      </c>
      <c r="AD37" s="1">
        <f t="shared" si="6"/>
        <v>0</v>
      </c>
      <c r="AE37" s="1">
        <f t="shared" si="7"/>
        <v>0</v>
      </c>
      <c r="AF37" s="1">
        <f>IF(C37="Orlov",Stamoplysninger!$E$15*7.4,0)</f>
        <v>0</v>
      </c>
      <c r="AG37">
        <f>IF(AND(C37="Skema 1",B37="ma"),Arbejdstidsoversigt!$E$44,"")</f>
        <v>0</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8"/>
        <v>0</v>
      </c>
      <c r="BB37" s="233">
        <f t="shared" si="9"/>
        <v>0</v>
      </c>
      <c r="BC37" s="1">
        <f t="shared" si="21"/>
        <v>0</v>
      </c>
      <c r="BD37" s="1">
        <f t="shared" si="10"/>
        <v>0</v>
      </c>
      <c r="BE37" s="1">
        <f t="shared" si="11"/>
        <v>0</v>
      </c>
      <c r="BF37" s="1">
        <f t="shared" si="12"/>
        <v>0</v>
      </c>
      <c r="BG37" s="214">
        <f>IF(AND(C37="Skema 1",B37="ma"),Skemaoplysninger!$E$30,"")</f>
        <v>0</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3"/>
        <v>0</v>
      </c>
      <c r="CC37" s="1">
        <f t="shared" si="14"/>
        <v>0</v>
      </c>
      <c r="CD37" s="214">
        <f>IF(AND(C37="Skema 1",B37="ma"),Skemaoplysninger!$E$39,"")</f>
        <v>0</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2",B37="fr"),Skemaoplysninger!$S$650,"")</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5"/>
        <v/>
      </c>
      <c r="DL37" t="str">
        <f t="shared" si="15"/>
        <v/>
      </c>
      <c r="DM37" t="str">
        <f t="shared" si="27"/>
        <v/>
      </c>
      <c r="DN37" t="str">
        <f t="shared" si="28"/>
        <v/>
      </c>
    </row>
    <row r="38" spans="1:118">
      <c r="A38" s="249">
        <f>IF(ISNUMBER(A37),A37+1,1)</f>
        <v>29</v>
      </c>
      <c r="B38" s="132" t="str">
        <f t="shared" si="0"/>
        <v>ti</v>
      </c>
      <c r="C38" s="133" t="s">
        <v>209</v>
      </c>
      <c r="D38" s="134" t="str">
        <f t="shared" si="1"/>
        <v/>
      </c>
      <c r="E38" s="871"/>
      <c r="F38" s="872"/>
      <c r="G38" s="873"/>
      <c r="H38" s="313"/>
      <c r="I38" s="582"/>
      <c r="J38" s="440"/>
      <c r="K38" s="405"/>
      <c r="L38" s="405"/>
      <c r="M38" s="405"/>
      <c r="N38" s="334">
        <f t="shared" si="17"/>
        <v>0</v>
      </c>
      <c r="O38" s="334">
        <f t="shared" si="18"/>
        <v>0</v>
      </c>
      <c r="P38" s="334">
        <f>IF(Stamoplysninger!$H$29="JA",August!DG38,CX38)</f>
        <v>0</v>
      </c>
      <c r="Q38" s="334">
        <f t="shared" si="19"/>
        <v>0</v>
      </c>
      <c r="R38" s="439"/>
      <c r="S38" s="341"/>
      <c r="T38" s="342"/>
      <c r="U38" s="342"/>
      <c r="V38" s="336"/>
      <c r="W38" s="472"/>
      <c r="X38" s="337"/>
      <c r="Y38">
        <f t="shared" si="20"/>
        <v>0</v>
      </c>
      <c r="Z38">
        <f t="shared" si="2"/>
        <v>0</v>
      </c>
      <c r="AA38" s="1">
        <f t="shared" si="3"/>
        <v>0</v>
      </c>
      <c r="AB38" s="1">
        <f t="shared" si="4"/>
        <v>0</v>
      </c>
      <c r="AC38" s="1">
        <f t="shared" si="5"/>
        <v>0</v>
      </c>
      <c r="AD38" s="1">
        <f t="shared" si="6"/>
        <v>0</v>
      </c>
      <c r="AE38" s="1">
        <f t="shared" si="7"/>
        <v>0</v>
      </c>
      <c r="AF38" s="1">
        <f>IF(C38="Orlov",Stamoplysninger!$E$15*7.4,0)</f>
        <v>0</v>
      </c>
      <c r="AG38" t="str">
        <f>IF(AND(C38="Skema 1",B38="ma"),Arbejdstidsoversigt!$E$44,"")</f>
        <v/>
      </c>
      <c r="AH38">
        <f>IF(AND(C38="Skema 1",B38="ti"),Arbejdstidsoversigt!$E$45,"")</f>
        <v>0</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8"/>
        <v>0</v>
      </c>
      <c r="BB38" s="233">
        <f t="shared" si="9"/>
        <v>0</v>
      </c>
      <c r="BC38" s="1">
        <f t="shared" si="21"/>
        <v>0</v>
      </c>
      <c r="BD38" s="1">
        <f t="shared" si="10"/>
        <v>0</v>
      </c>
      <c r="BE38" s="1">
        <f t="shared" si="11"/>
        <v>0</v>
      </c>
      <c r="BF38" s="1">
        <f t="shared" si="12"/>
        <v>0</v>
      </c>
      <c r="BG38" s="214" t="str">
        <f>IF(AND(C38="Skema 1",B38="ma"),Skemaoplysninger!$E$30,"")</f>
        <v/>
      </c>
      <c r="BH38" s="214">
        <f>IF(AND(C38="Skema 1",B38="ti"),Skemaoplysninger!$F$30,"")</f>
        <v>0</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3",B38="ti"),Skemaoplysninger!$Z$30,"")</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3"/>
        <v>0</v>
      </c>
      <c r="CC38" s="1">
        <f t="shared" si="14"/>
        <v>0</v>
      </c>
      <c r="CD38" s="214" t="str">
        <f>IF(AND(C38="Skema 1",B38="ma"),Skemaoplysninger!$E$39,"")</f>
        <v/>
      </c>
      <c r="CE38" s="214">
        <f>IF(AND(C38="Skema 1",B38="ti"),Skemaoplysninger!$F$39,"")</f>
        <v>0</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2",B38="fr"),Skemaoplysninger!$S$650,"")</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5"/>
        <v/>
      </c>
      <c r="DL38" t="str">
        <f t="shared" si="15"/>
        <v/>
      </c>
      <c r="DM38" t="str">
        <f t="shared" si="27"/>
        <v/>
      </c>
      <c r="DN38" t="str">
        <f t="shared" si="28"/>
        <v/>
      </c>
    </row>
    <row r="39" spans="1:118">
      <c r="A39" s="249">
        <f t="shared" si="16"/>
        <v>30</v>
      </c>
      <c r="B39" s="132" t="str">
        <f t="shared" si="0"/>
        <v>on</v>
      </c>
      <c r="C39" s="133" t="s">
        <v>209</v>
      </c>
      <c r="D39" s="134" t="str">
        <f t="shared" si="1"/>
        <v/>
      </c>
      <c r="E39" s="871"/>
      <c r="F39" s="872"/>
      <c r="G39" s="873"/>
      <c r="H39" s="313"/>
      <c r="I39" s="582"/>
      <c r="J39" s="440"/>
      <c r="K39" s="405"/>
      <c r="L39" s="405"/>
      <c r="M39" s="405"/>
      <c r="N39" s="334">
        <f t="shared" si="17"/>
        <v>0</v>
      </c>
      <c r="O39" s="334">
        <f t="shared" si="18"/>
        <v>0</v>
      </c>
      <c r="P39" s="334">
        <f>IF(Stamoplysninger!$H$29="JA",August!DG39,CX39)</f>
        <v>0</v>
      </c>
      <c r="Q39" s="334">
        <f t="shared" si="19"/>
        <v>0</v>
      </c>
      <c r="R39" s="439"/>
      <c r="S39" s="341"/>
      <c r="T39" s="342"/>
      <c r="U39" s="471"/>
      <c r="V39" s="336"/>
      <c r="W39" s="472"/>
      <c r="X39" s="337"/>
      <c r="Y39">
        <f t="shared" si="20"/>
        <v>0</v>
      </c>
      <c r="Z39">
        <f t="shared" si="2"/>
        <v>0</v>
      </c>
      <c r="AA39" s="1">
        <f t="shared" si="3"/>
        <v>0</v>
      </c>
      <c r="AB39" s="1">
        <f t="shared" si="4"/>
        <v>0</v>
      </c>
      <c r="AC39" s="1">
        <f t="shared" si="5"/>
        <v>0</v>
      </c>
      <c r="AD39" s="1">
        <f t="shared" si="6"/>
        <v>0</v>
      </c>
      <c r="AE39" s="1">
        <f t="shared" si="7"/>
        <v>0</v>
      </c>
      <c r="AF39" s="1">
        <f>IF(C39="Orlov",Stamoplysninger!$E$15*7.4,0)</f>
        <v>0</v>
      </c>
      <c r="AG39" t="str">
        <f>IF(AND(C39="Skema 1",B39="ma"),Arbejdstidsoversigt!$E$44,"")</f>
        <v/>
      </c>
      <c r="AH39" t="str">
        <f>IF(AND(C39="Skema 1",B39="ti"),Arbejdstidsoversigt!$E$45,"")</f>
        <v/>
      </c>
      <c r="AI39">
        <f>IF(AND(C39="Skema 1",B39="on"),Arbejdstidsoversigt!$E$46,"")</f>
        <v>0</v>
      </c>
      <c r="AJ39" t="str">
        <f>IF(AND(C39="Skema 1",B39="to"),Arbejdstidsoversigt!$E$47,"")</f>
        <v/>
      </c>
      <c r="AK39" t="str">
        <f>IF(AND(C39="Skema 1",B39="fr"),Arbejdstidsoversigt!$E$48,"")</f>
        <v/>
      </c>
      <c r="AL39" t="str">
        <f>IF(AND(C39="Skema 2",B39="ma"),Arbejdstidsoversigt!$E$53,"")</f>
        <v/>
      </c>
      <c r="AM39" t="str">
        <f>IF(AND(C39="Skema 2",B39="ti"),Arbejdstidsoversigt!$E$54,"")</f>
        <v/>
      </c>
      <c r="AN39" t="str">
        <f>IF(AND(C39="Skema 2",B39="on"),Arbejdstidsoversigt!$E$55,"")</f>
        <v/>
      </c>
      <c r="AO39" t="str">
        <f>IF(AND(C39="Skema 2",B39="to"),Arbejdstidsoversigt!$E$56,"")</f>
        <v/>
      </c>
      <c r="AP39" t="str">
        <f>IF(AND(C39="Skema 2",B39="fr"),Arbejdstidsoversigt!$E$57,"")</f>
        <v/>
      </c>
      <c r="AQ39" t="str">
        <f>IF(AND(C39="Skema 3",B39="ma"),Arbejdstidsoversigt!$E$62,"")</f>
        <v/>
      </c>
      <c r="AR39" t="str">
        <f>IF(AND(C39="Skema 3",B39="ti"),Arbejdstidsoversigt!$E$63,"")</f>
        <v/>
      </c>
      <c r="AS39" t="str">
        <f>IF(AND(C39="Skema 3",B39="on"),Arbejdstidsoversigt!$E$64,"")</f>
        <v/>
      </c>
      <c r="AT39" t="str">
        <f>IF(AND(C39="Skema 3",B39="to"),Arbejdstidsoversigt!$E$65,"")</f>
        <v/>
      </c>
      <c r="AU39" t="str">
        <f>IF(AND(C39="Skema 3",B39="fr"),Arbejdstidsoversigt!$E$66,"")</f>
        <v/>
      </c>
      <c r="AV39" t="str">
        <f>IF(AND(C39="Skema 4",B39="ma"),Arbejdstidsoversigt!$E$71,"")</f>
        <v/>
      </c>
      <c r="AW39" t="str">
        <f>IF(AND(C39="Skema 4",B39="ti"),Arbejdstidsoversigt!$E$72,"")</f>
        <v/>
      </c>
      <c r="AX39" t="str">
        <f>IF(AND(C39="Skema 4",B39="on"),Arbejdstidsoversigt!$E$73,"")</f>
        <v/>
      </c>
      <c r="AY39" t="str">
        <f>IF(AND(C39="Skema 4",B39="to"),Arbejdstidsoversigt!$E$74,"")</f>
        <v/>
      </c>
      <c r="AZ39" t="str">
        <f>IF(AND(C39="Skema 4",B39="fr"),Arbejdstidsoversigt!$E$75,"")</f>
        <v/>
      </c>
      <c r="BA39" s="1">
        <f t="shared" si="8"/>
        <v>0</v>
      </c>
      <c r="BB39" s="233">
        <f t="shared" si="9"/>
        <v>0</v>
      </c>
      <c r="BC39" s="1">
        <f t="shared" si="21"/>
        <v>0</v>
      </c>
      <c r="BD39" s="1">
        <f t="shared" si="10"/>
        <v>0</v>
      </c>
      <c r="BE39" s="1">
        <f t="shared" si="11"/>
        <v>0</v>
      </c>
      <c r="BF39" s="1">
        <f t="shared" si="12"/>
        <v>0</v>
      </c>
      <c r="BG39" s="214" t="str">
        <f>IF(AND(C39="Skema 1",B39="ma"),Skemaoplysninger!$E$30,"")</f>
        <v/>
      </c>
      <c r="BH39" s="214" t="str">
        <f>IF(AND(C39="Skema 1",B39="ti"),Skemaoplysninger!$F$30,"")</f>
        <v/>
      </c>
      <c r="BI39" s="214">
        <f>IF(AND(C39="Skema 1",B39="on"),Skemaoplysninger!$G$30,"")</f>
        <v>0</v>
      </c>
      <c r="BJ39" s="214" t="str">
        <f>IF(AND(C39="Skema 1",B39="to"),Skemaoplysninger!$H$30,"")</f>
        <v/>
      </c>
      <c r="BK39" s="214" t="str">
        <f>IF(AND(C39="Skema 1",B39="fr"),Skemaoplysninger!$I$30,"")</f>
        <v/>
      </c>
      <c r="BL39" s="214" t="str">
        <f>IF(AND(C39="Skema 2",B39="ma"),Skemaoplysninger!$O$30,"")</f>
        <v/>
      </c>
      <c r="BM39" s="214" t="str">
        <f>IF(AND(C39="Skema 2",B39="ti"),Skemaoplysninger!$P$30,"")</f>
        <v/>
      </c>
      <c r="BN39" s="214" t="str">
        <f>IF(AND(C39="Skema 2",B39="on"),Skemaoplysninger!$Q$30,"")</f>
        <v/>
      </c>
      <c r="BO39" s="214" t="str">
        <f>IF(AND(C39="Skema 2",B39="to"),Skemaoplysninger!$R$30,"")</f>
        <v/>
      </c>
      <c r="BP39" s="214" t="str">
        <f>IF(AND(C39="Skema 2",B39="fr"),Skemaoplysninger!$S$30,"")</f>
        <v/>
      </c>
      <c r="BQ39" s="214" t="str">
        <f>IF(AND(C39="Skema 3",B39="ma"),Skemaoplysninger!$Y$30,"")</f>
        <v/>
      </c>
      <c r="BR39" s="214" t="str">
        <f>IF(AND(C39="Skema 3",B39="ti"),Skemaoplysninger!$Z$30,"")</f>
        <v/>
      </c>
      <c r="BS39" s="214" t="str">
        <f>IF(AND(C39="Skema 3",B39="on"),Skemaoplysninger!$AA$30,"")</f>
        <v/>
      </c>
      <c r="BT39" s="214" t="str">
        <f>IF(AND(C39="Skema 3",B39="to"),Skemaoplysninger!$AB$30,"")</f>
        <v/>
      </c>
      <c r="BU39" s="214" t="str">
        <f>IF(AND(C39="Skema 3",B39="fr"),Skemaoplysninger!$AC$30,"")</f>
        <v/>
      </c>
      <c r="BV39" s="214" t="str">
        <f>IF(AND(C39="Skema 4",B39="ma"),Skemaoplysninger!$AI$30,"")</f>
        <v/>
      </c>
      <c r="BW39" s="214" t="str">
        <f>IF(AND(C39="Skema 4",B39="ti"),Skemaoplysninger!$AJ$30,"")</f>
        <v/>
      </c>
      <c r="BX39" s="214" t="str">
        <f>IF(AND(C39="Skema 4",B39="on"),Skemaoplysninger!$AK$30,"")</f>
        <v/>
      </c>
      <c r="BY39" s="214" t="str">
        <f>IF(AND(C39="Skema 4",B39="to"),Skemaoplysninger!$AL$30,"")</f>
        <v/>
      </c>
      <c r="BZ39" s="214" t="str">
        <f>IF(AND(C39="Skema 4",B39="fr"),Skemaoplysninger!$AM$30,"")</f>
        <v/>
      </c>
      <c r="CA39" s="1">
        <f t="shared" si="22"/>
        <v>0</v>
      </c>
      <c r="CB39" s="1">
        <f t="shared" si="13"/>
        <v>0</v>
      </c>
      <c r="CC39" s="1">
        <f t="shared" si="14"/>
        <v>0</v>
      </c>
      <c r="CD39" s="214" t="str">
        <f>IF(AND(C39="Skema 1",B39="ma"),Skemaoplysninger!$E$39,"")</f>
        <v/>
      </c>
      <c r="CE39" s="214" t="str">
        <f>IF(AND(C39="Skema 1",B39="ti"),Skemaoplysninger!$F$39,"")</f>
        <v/>
      </c>
      <c r="CF39" s="214">
        <f>IF(AND(C39="Skema 1",B39="on"),Skemaoplysninger!$G$39,"")</f>
        <v>0</v>
      </c>
      <c r="CG39" s="214" t="str">
        <f>IF(AND(C39="Skema 1",B39="to"),Skemaoplysninger!$H$39,"")</f>
        <v/>
      </c>
      <c r="CH39" s="214" t="str">
        <f>IF(AND(C39="Skema 1",B39="fr"),Skemaoplysninger!$I$39,"")</f>
        <v/>
      </c>
      <c r="CI39" s="214" t="str">
        <f>IF(AND(C39="Skema 2",B39="ma"),Skemaoplysninger!$O$39,"")</f>
        <v/>
      </c>
      <c r="CJ39" s="214" t="str">
        <f>IF(AND(C39="Skema 2",B39="ti"),Skemaoplysninger!$P$39,"")</f>
        <v/>
      </c>
      <c r="CK39" s="214" t="str">
        <f>IF(AND(C39="Skema 2",B39="on"),Skemaoplysninger!$Q$39,"")</f>
        <v/>
      </c>
      <c r="CL39" s="214" t="str">
        <f>IF(AND(C39="Skema 2",B39="to"),Skemaoplysninger!$R$39,"")</f>
        <v/>
      </c>
      <c r="CM39" s="214" t="str">
        <f>IF(AND(C39="Skema 2",B39="fr"),Skemaoplysninger!$S$650,"")</f>
        <v/>
      </c>
      <c r="CN39" s="214" t="str">
        <f>IF(AND(C39="Skema 3",B39="ma"),Skemaoplysninger!$Y$39,"")</f>
        <v/>
      </c>
      <c r="CO39" s="214" t="str">
        <f>IF(AND(C39="Skema 3",B39="ti"),Skemaoplysninger!$Z$39,"")</f>
        <v/>
      </c>
      <c r="CP39" s="214" t="str">
        <f>IF(AND(C39="Skema 3",B39="on"),Skemaoplysninger!$AA$39,"")</f>
        <v/>
      </c>
      <c r="CQ39" s="214" t="str">
        <f>IF(AND(C39="Skema 3",B39="to"),Skemaoplysninger!$AB$39,"")</f>
        <v/>
      </c>
      <c r="CR39" s="214" t="str">
        <f>IF(AND(C39="Skema 3",B39="fr"),Skemaoplysninger!$AC$39,"")</f>
        <v/>
      </c>
      <c r="CS39" s="214" t="str">
        <f>IF(AND(C39="Skema 4",B39="ma"),Skemaoplysninger!$AI$39,"")</f>
        <v/>
      </c>
      <c r="CT39" s="214" t="str">
        <f>IF(AND(C39="Skema 4",B39="ti"),Skemaoplysninger!$AJ$39,"")</f>
        <v/>
      </c>
      <c r="CU39" s="214" t="str">
        <f>IF(AND(C39="Skema 4",B39="on"),Skemaoplysninger!$AK$39,"")</f>
        <v/>
      </c>
      <c r="CV39" s="214" t="str">
        <f>IF(AND(C39="Skema 4",B39="to"),Skemaoplysninger!$AL$39,"")</f>
        <v/>
      </c>
      <c r="CW39" s="214" t="str">
        <f>IF(AND(C39="Skema 4",B39="fr"),Skemaoplysninger!$AM$39,"")</f>
        <v/>
      </c>
      <c r="CX39" s="254">
        <f>IF(Stamoplysninger!$H$29="NEJ",SUM(CB39:CW39),0)</f>
        <v>0</v>
      </c>
      <c r="CY39" s="254">
        <f>IF(C39="Skema 1",Stamoplysninger!$H$30/200,0)</f>
        <v>0</v>
      </c>
      <c r="CZ39" s="254">
        <f>IF(C39="Skema 2",Stamoplysninger!$H$30/200,0)</f>
        <v>0</v>
      </c>
      <c r="DA39" s="254">
        <f>IF(C39="Skema 3",Stamoplysninger!$H$30/200,0)</f>
        <v>0</v>
      </c>
      <c r="DB39" s="254">
        <f>IF(C39="Skema 4",Stamoplysninger!$H$30/200,0)</f>
        <v>0</v>
      </c>
      <c r="DC39" s="254">
        <f>IF(C39="fagdag",Stamoplysninger!$H$30/200,0)</f>
        <v>0</v>
      </c>
      <c r="DD39" s="254">
        <f>IF(C39="emnedag",Stamoplysninger!$H$30/200,0)</f>
        <v>0</v>
      </c>
      <c r="DE39" s="254">
        <f>IF(C39="lejrskole",Stamoplysninger!$H$30/200,0)</f>
        <v>0</v>
      </c>
      <c r="DF39" s="254">
        <f>IF(C39="ekskursion",Stamoplysninger!$H$30/200,0)</f>
        <v>0</v>
      </c>
      <c r="DG39" s="254">
        <f t="shared" si="23"/>
        <v>0</v>
      </c>
      <c r="DH39" t="str">
        <f t="shared" si="24"/>
        <v/>
      </c>
      <c r="DI39">
        <f t="shared" si="25"/>
        <v>0</v>
      </c>
      <c r="DJ39">
        <f t="shared" si="26"/>
        <v>0</v>
      </c>
      <c r="DK39" t="str">
        <f t="shared" si="15"/>
        <v/>
      </c>
      <c r="DL39" t="str">
        <f t="shared" si="15"/>
        <v/>
      </c>
      <c r="DM39" t="str">
        <f t="shared" si="27"/>
        <v/>
      </c>
      <c r="DN39" t="str">
        <f t="shared" si="28"/>
        <v/>
      </c>
    </row>
    <row r="40" spans="1:118">
      <c r="A40" s="249">
        <f>IF(ISNUMBER(A39),A39+1,1)</f>
        <v>31</v>
      </c>
      <c r="B40" s="132" t="str">
        <f t="shared" si="0"/>
        <v>to</v>
      </c>
      <c r="C40" s="133" t="s">
        <v>209</v>
      </c>
      <c r="D40" s="134" t="str">
        <f t="shared" si="1"/>
        <v/>
      </c>
      <c r="E40" s="868"/>
      <c r="F40" s="869"/>
      <c r="G40" s="870"/>
      <c r="H40" s="312"/>
      <c r="I40" s="582"/>
      <c r="J40" s="440"/>
      <c r="K40" s="405"/>
      <c r="L40" s="405"/>
      <c r="M40" s="405"/>
      <c r="N40" s="334">
        <f t="shared" si="17"/>
        <v>0</v>
      </c>
      <c r="O40" s="334">
        <f t="shared" si="18"/>
        <v>0</v>
      </c>
      <c r="P40" s="334">
        <f>IF(Stamoplysninger!$H$29="JA",August!DG40,CX40)</f>
        <v>0</v>
      </c>
      <c r="Q40" s="334">
        <f t="shared" si="19"/>
        <v>0</v>
      </c>
      <c r="R40" s="439"/>
      <c r="S40" s="341"/>
      <c r="T40" s="342"/>
      <c r="U40" s="218"/>
      <c r="V40" s="336"/>
      <c r="W40" s="472"/>
      <c r="X40" s="473"/>
      <c r="Y40">
        <f t="shared" si="20"/>
        <v>0</v>
      </c>
      <c r="Z40">
        <f t="shared" si="2"/>
        <v>0</v>
      </c>
      <c r="AA40" s="1">
        <f t="shared" si="3"/>
        <v>0</v>
      </c>
      <c r="AB40" s="1">
        <f t="shared" si="4"/>
        <v>0</v>
      </c>
      <c r="AC40" s="1">
        <f t="shared" si="5"/>
        <v>0</v>
      </c>
      <c r="AD40" s="1">
        <f t="shared" si="6"/>
        <v>0</v>
      </c>
      <c r="AE40" s="1">
        <f t="shared" si="7"/>
        <v>0</v>
      </c>
      <c r="AF40" s="1">
        <f>IF(C40="Orlov",Stamoplysninger!$E$15*7.4,0)</f>
        <v>0</v>
      </c>
      <c r="AG40" t="str">
        <f>IF(AND(C40="Skema 1",B40="ma"),Arbejdstidsoversigt!$E$44,"")</f>
        <v/>
      </c>
      <c r="AH40" t="str">
        <f>IF(AND(C40="Skema 1",B40="ti"),Arbejdstidsoversigt!$E$45,"")</f>
        <v/>
      </c>
      <c r="AI40" t="str">
        <f>IF(AND(C40="Skema 1",B40="on"),Arbejdstidsoversigt!$E$46,"")</f>
        <v/>
      </c>
      <c r="AJ40">
        <f>IF(AND(C40="Skema 1",B40="to"),Arbejdstidsoversigt!$E$47,"")</f>
        <v>0</v>
      </c>
      <c r="AK40" t="str">
        <f>IF(AND(C40="Skema 1",B40="fr"),Arbejdstidsoversigt!$E$48,"")</f>
        <v/>
      </c>
      <c r="AL40" t="str">
        <f>IF(AND(C40="Skema 2",B40="ma"),Arbejdstidsoversigt!$E$53,"")</f>
        <v/>
      </c>
      <c r="AM40" t="str">
        <f>IF(AND(C40="Skema 2",B40="ti"),Arbejdstidsoversigt!$E$54,"")</f>
        <v/>
      </c>
      <c r="AN40" t="str">
        <f>IF(AND(C40="Skema 2",B40="on"),Arbejdstidsoversigt!$E$55,"")</f>
        <v/>
      </c>
      <c r="AO40" t="str">
        <f>IF(AND(C40="Skema 2",B40="to"),Arbejdstidsoversigt!$E$56,"")</f>
        <v/>
      </c>
      <c r="AP40" t="str">
        <f>IF(AND(C40="Skema 2",B40="fr"),Arbejdstidsoversigt!$E$57,"")</f>
        <v/>
      </c>
      <c r="AQ40" t="str">
        <f>IF(AND(C40="Skema 3",B40="ma"),Arbejdstidsoversigt!$E$62,"")</f>
        <v/>
      </c>
      <c r="AR40" t="str">
        <f>IF(AND(C40="Skema 3",B40="ti"),Arbejdstidsoversigt!$E$63,"")</f>
        <v/>
      </c>
      <c r="AS40" t="str">
        <f>IF(AND(C40="Skema 3",B40="on"),Arbejdstidsoversigt!$E$64,"")</f>
        <v/>
      </c>
      <c r="AT40" t="str">
        <f>IF(AND(C40="Skema 3",B40="to"),Arbejdstidsoversigt!$E$65,"")</f>
        <v/>
      </c>
      <c r="AU40" t="str">
        <f>IF(AND(C40="Skema 3",B40="fr"),Arbejdstidsoversigt!$E$66,"")</f>
        <v/>
      </c>
      <c r="AV40" t="str">
        <f>IF(AND(C40="Skema 4",B40="ma"),Arbejdstidsoversigt!$E$71,"")</f>
        <v/>
      </c>
      <c r="AW40" t="str">
        <f>IF(AND(C40="Skema 4",B40="ti"),Arbejdstidsoversigt!$E$72,"")</f>
        <v/>
      </c>
      <c r="AX40" t="str">
        <f>IF(AND(C40="Skema 4",B40="on"),Arbejdstidsoversigt!$E$73,"")</f>
        <v/>
      </c>
      <c r="AY40" t="str">
        <f>IF(AND(C40="Skema 4",B40="to"),Arbejdstidsoversigt!$E$74,"")</f>
        <v/>
      </c>
      <c r="AZ40" t="str">
        <f>IF(AND(C40="Skema 4",B40="fr"),Arbejdstidsoversigt!$E$75,"")</f>
        <v/>
      </c>
      <c r="BA40" s="1">
        <f t="shared" si="8"/>
        <v>0</v>
      </c>
      <c r="BB40" s="233">
        <f t="shared" si="9"/>
        <v>0</v>
      </c>
      <c r="BC40" s="1">
        <f t="shared" si="21"/>
        <v>0</v>
      </c>
      <c r="BD40" s="1">
        <f t="shared" si="10"/>
        <v>0</v>
      </c>
      <c r="BE40" s="1">
        <f t="shared" si="11"/>
        <v>0</v>
      </c>
      <c r="BF40" s="1">
        <f t="shared" si="12"/>
        <v>0</v>
      </c>
      <c r="BG40" s="214" t="str">
        <f>IF(AND(C40="Skema 1",B40="ma"),Skemaoplysninger!$E$30,"")</f>
        <v/>
      </c>
      <c r="BH40" s="214" t="str">
        <f>IF(AND(C40="Skema 1",B40="ti"),Skemaoplysninger!$F$30,"")</f>
        <v/>
      </c>
      <c r="BI40" s="214" t="str">
        <f>IF(AND(C40="Skema 1",B40="on"),Skemaoplysninger!$G$30,"")</f>
        <v/>
      </c>
      <c r="BJ40" s="214">
        <f>IF(AND(C40="Skema 1",B40="to"),Skemaoplysninger!$H$30,"")</f>
        <v>0</v>
      </c>
      <c r="BK40" s="214" t="str">
        <f>IF(AND(C40="Skema 1",B40="fr"),Skemaoplysninger!$I$30,"")</f>
        <v/>
      </c>
      <c r="BL40" s="214" t="str">
        <f>IF(AND(C40="Skema 2",B40="ma"),Skemaoplysninger!$O$30,"")</f>
        <v/>
      </c>
      <c r="BM40" s="214" t="str">
        <f>IF(AND(C40="Skema 2",B40="ti"),Skemaoplysninger!$P$30,"")</f>
        <v/>
      </c>
      <c r="BN40" s="214" t="str">
        <f>IF(AND(C40="Skema 2",B40="on"),Skemaoplysninger!$Q$30,"")</f>
        <v/>
      </c>
      <c r="BO40" s="214" t="str">
        <f>IF(AND(C40="Skema 2",B40="to"),Skemaoplysninger!$R$30,"")</f>
        <v/>
      </c>
      <c r="BP40" s="214" t="str">
        <f>IF(AND(C40="Skema 2",B40="fr"),Skemaoplysninger!$S$30,"")</f>
        <v/>
      </c>
      <c r="BQ40" s="214" t="str">
        <f>IF(AND(C40="Skema 3",B40="ma"),Skemaoplysninger!$Y$30,"")</f>
        <v/>
      </c>
      <c r="BR40" s="214" t="str">
        <f>IF(AND(C40="Skema 3",B40="ti"),Arbejdstidsoversigt!#REF!,"")</f>
        <v/>
      </c>
      <c r="BS40" s="214" t="str">
        <f>IF(AND(C40="Skema 3",B40="on"),Skemaoplysninger!$AA$30,"")</f>
        <v/>
      </c>
      <c r="BT40" s="214" t="str">
        <f>IF(AND(C40="Skema 3",B40="to"),Skemaoplysninger!$AB$30,"")</f>
        <v/>
      </c>
      <c r="BU40" s="214" t="str">
        <f>IF(AND(C40="Skema 3",B40="fr"),Skemaoplysninger!$AC$30,"")</f>
        <v/>
      </c>
      <c r="BV40" s="214" t="str">
        <f>IF(AND(C40="Skema 4",B40="ma"),Skemaoplysninger!$AI$30,"")</f>
        <v/>
      </c>
      <c r="BW40" s="214" t="str">
        <f>IF(AND(C40="Skema 4",B40="ti"),Skemaoplysninger!$AJ$30,"")</f>
        <v/>
      </c>
      <c r="BX40" s="214" t="str">
        <f>IF(AND(C40="Skema 4",B40="on"),Skemaoplysninger!$AK$30,"")</f>
        <v/>
      </c>
      <c r="BY40" s="214" t="str">
        <f>IF(AND(C40="Skema 4",B40="to"),Skemaoplysninger!$AL$30,"")</f>
        <v/>
      </c>
      <c r="BZ40" s="214" t="str">
        <f>IF(AND(C40="Skema 4",B40="fr"),Skemaoplysninger!$AM$30,"")</f>
        <v/>
      </c>
      <c r="CA40" s="1">
        <f t="shared" si="22"/>
        <v>0</v>
      </c>
      <c r="CB40" s="1">
        <f t="shared" si="13"/>
        <v>0</v>
      </c>
      <c r="CC40" s="1">
        <f t="shared" si="14"/>
        <v>0</v>
      </c>
      <c r="CD40" s="214" t="str">
        <f>IF(AND(C40="Skema 1",B40="ma"),Skemaoplysninger!$E$39,"")</f>
        <v/>
      </c>
      <c r="CE40" s="214" t="str">
        <f>IF(AND(C40="Skema 1",B40="ti"),Skemaoplysninger!$F$39,"")</f>
        <v/>
      </c>
      <c r="CF40" s="214" t="str">
        <f>IF(AND(C40="Skema 1",B40="on"),Skemaoplysninger!$G$39,"")</f>
        <v/>
      </c>
      <c r="CG40" s="214">
        <f>IF(AND(C40="Skema 1",B40="to"),Skemaoplysninger!$H$39,"")</f>
        <v>0</v>
      </c>
      <c r="CH40" s="214" t="str">
        <f>IF(AND(C40="Skema 1",B40="fr"),Skemaoplysninger!$I$39,"")</f>
        <v/>
      </c>
      <c r="CI40" s="214" t="str">
        <f>IF(AND(C40="Skema 2",B40="ma"),Skemaoplysninger!$O$39,"")</f>
        <v/>
      </c>
      <c r="CJ40" s="214" t="str">
        <f>IF(AND(C40="Skema 2",B40="ti"),Skemaoplysninger!$P$39,"")</f>
        <v/>
      </c>
      <c r="CK40" s="214" t="str">
        <f>IF(AND(C40="Skema 2",B40="on"),Skemaoplysninger!$Q$39,"")</f>
        <v/>
      </c>
      <c r="CL40" s="214" t="str">
        <f>IF(AND(C40="Skema 2",B40="to"),Skemaoplysninger!$R$39,"")</f>
        <v/>
      </c>
      <c r="CM40" s="214" t="str">
        <f>IF(AND(C40="Skema 2",B40="fr"),Skemaoplysninger!$S$650,"")</f>
        <v/>
      </c>
      <c r="CN40" s="214" t="str">
        <f>IF(AND(C40="Skema 3",B40="ma"),Skemaoplysninger!$Y$39,"")</f>
        <v/>
      </c>
      <c r="CO40" s="214" t="str">
        <f>IF(AND(C40="Skema 3",B40="ti"),Skemaoplysninger!$Z$39,"")</f>
        <v/>
      </c>
      <c r="CP40" s="214" t="str">
        <f>IF(AND(C40="Skema 3",B40="on"),Skemaoplysninger!$AA$39,"")</f>
        <v/>
      </c>
      <c r="CQ40" s="214" t="str">
        <f>IF(AND(C40="Skema 3",B40="to"),Skemaoplysninger!$AB$39,"")</f>
        <v/>
      </c>
      <c r="CR40" s="214" t="str">
        <f>IF(AND(C40="Skema 3",B40="fr"),Skemaoplysninger!$AC$39,"")</f>
        <v/>
      </c>
      <c r="CS40" s="214" t="str">
        <f>IF(AND(C40="Skema 4",B40="ma"),Skemaoplysninger!$AI$39,"")</f>
        <v/>
      </c>
      <c r="CT40" s="214" t="str">
        <f>IF(AND(C40="Skema 4",B40="ti"),Skemaoplysninger!$AJ$39,"")</f>
        <v/>
      </c>
      <c r="CU40" s="214" t="str">
        <f>IF(AND(C40="Skema 4",B40="on"),Skemaoplysninger!$AK$39,"")</f>
        <v/>
      </c>
      <c r="CV40" s="214" t="str">
        <f>IF(AND(C40="Skema 4",B40="to"),Skemaoplysninger!$AL$39,"")</f>
        <v/>
      </c>
      <c r="CW40" s="214" t="str">
        <f>IF(AND(C40="Skema 4",B40="fr"),Skemaoplysninger!$AM$39,"")</f>
        <v/>
      </c>
      <c r="CX40" s="254">
        <f>IF(Stamoplysninger!$H$29="NEJ",SUM(CB40:CW40),0)</f>
        <v>0</v>
      </c>
      <c r="CY40" s="254">
        <f>IF(C40="Skema 1",Stamoplysninger!$H$30/200,0)</f>
        <v>0</v>
      </c>
      <c r="CZ40" s="254">
        <f>IF(C40="Skema 2",Stamoplysninger!$H$30/200,0)</f>
        <v>0</v>
      </c>
      <c r="DA40" s="254">
        <f>IF(C40="Skema 3",Stamoplysninger!$H$30/200,0)</f>
        <v>0</v>
      </c>
      <c r="DB40" s="254">
        <f>IF(C40="Skema 4",Stamoplysninger!$H$30/200,0)</f>
        <v>0</v>
      </c>
      <c r="DC40" s="254">
        <f>IF(C40="fagdag",Stamoplysninger!$H$30/200,0)</f>
        <v>0</v>
      </c>
      <c r="DD40" s="254">
        <f>IF(C40="emnedag",Stamoplysninger!$H$30/200,0)</f>
        <v>0</v>
      </c>
      <c r="DE40" s="254">
        <f>IF(C40="lejrskole",Stamoplysninger!$H$30/200,0)</f>
        <v>0</v>
      </c>
      <c r="DF40" s="254">
        <f>IF(C40="ekskursion",Stamoplysninger!$H$30/200,0)</f>
        <v>0</v>
      </c>
      <c r="DG40" s="254">
        <f t="shared" si="23"/>
        <v>0</v>
      </c>
      <c r="DH40" t="str">
        <f t="shared" si="24"/>
        <v/>
      </c>
      <c r="DI40">
        <f t="shared" si="25"/>
        <v>0</v>
      </c>
      <c r="DJ40">
        <f t="shared" si="26"/>
        <v>0</v>
      </c>
      <c r="DK40" t="str">
        <f t="shared" si="15"/>
        <v/>
      </c>
      <c r="DL40" t="str">
        <f t="shared" si="15"/>
        <v/>
      </c>
      <c r="DM40" t="str">
        <f t="shared" si="27"/>
        <v/>
      </c>
      <c r="DN40" t="str">
        <f t="shared" si="28"/>
        <v/>
      </c>
    </row>
    <row r="41" spans="1:118" ht="17" thickBot="1">
      <c r="A41" s="889" t="s">
        <v>263</v>
      </c>
      <c r="B41" s="890"/>
      <c r="C41" s="890"/>
      <c r="D41" s="890"/>
      <c r="E41" s="890"/>
      <c r="F41" s="890"/>
      <c r="G41" s="890"/>
      <c r="H41" s="890"/>
      <c r="I41" s="891"/>
      <c r="J41" s="329"/>
      <c r="K41" s="339"/>
      <c r="L41" s="339"/>
      <c r="M41" s="339"/>
      <c r="N41" s="339">
        <f>SUM(N10:N40)</f>
        <v>0</v>
      </c>
      <c r="O41" s="339">
        <f t="shared" ref="O41:Q41" si="29">SUM(O10:O40)</f>
        <v>0</v>
      </c>
      <c r="P41" s="339">
        <f t="shared" si="29"/>
        <v>0</v>
      </c>
      <c r="Q41" s="339">
        <f t="shared" si="29"/>
        <v>0</v>
      </c>
      <c r="R41" s="355">
        <f>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f>
        <v>0</v>
      </c>
      <c r="S41" s="459"/>
      <c r="T41" s="460"/>
      <c r="U41" s="460"/>
      <c r="V41" s="460">
        <f>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IF(S40="x",V40,0)</f>
        <v>0</v>
      </c>
      <c r="W41" s="460">
        <f>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f>
        <v>0</v>
      </c>
      <c r="X41" s="461">
        <f>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f>
        <v>0</v>
      </c>
      <c r="Y41" s="215">
        <f>SUM(Y10:Y40)</f>
        <v>0</v>
      </c>
      <c r="Z41" s="425">
        <f>Z10+Z11+Z12+Z13+Z14+Z15+Z16+Z17+Z18+Z19+Z20+Z21+Z22+Z23+Z24+Z25+Z26+Z27+Z28+Z29+Z30+Z31+Z32+Z33+Z34+Z35+Z36+Z37+Z38+Z39+Z40</f>
        <v>0</v>
      </c>
      <c r="AA41" s="239">
        <f t="shared" ref="AA41:AF41" si="30">SUM(AA10:AA40)</f>
        <v>0</v>
      </c>
      <c r="AB41" s="239">
        <f t="shared" si="30"/>
        <v>0</v>
      </c>
      <c r="AC41" s="239">
        <f t="shared" si="30"/>
        <v>0</v>
      </c>
      <c r="AD41" s="239">
        <f t="shared" si="30"/>
        <v>0</v>
      </c>
      <c r="AE41" s="239">
        <f t="shared" si="30"/>
        <v>0</v>
      </c>
      <c r="AF41" s="239">
        <f t="shared" si="30"/>
        <v>0</v>
      </c>
      <c r="BA41" s="1">
        <f>SUM(BA10:BA40)</f>
        <v>0</v>
      </c>
      <c r="BB41" s="116"/>
      <c r="BC41" s="239">
        <f>SUM(BC10:BC40)</f>
        <v>0</v>
      </c>
      <c r="BD41" s="239">
        <f>SUM(BD10:BD40)</f>
        <v>0</v>
      </c>
      <c r="BE41" s="239">
        <f>SUM(BE10:BE40)</f>
        <v>0</v>
      </c>
      <c r="BF41" s="239">
        <f t="shared" ref="BF41" si="31">SUM(BF10:BF40)</f>
        <v>0</v>
      </c>
      <c r="CA41" s="239">
        <f>SUM(CA10:CA40)</f>
        <v>0</v>
      </c>
      <c r="CB41" s="239">
        <f t="shared" ref="CB41" si="32">SUM(CB10:CB40)</f>
        <v>0</v>
      </c>
      <c r="CC41" s="239">
        <f t="shared" ref="CC41" si="33">SUM(CC10:CC40)</f>
        <v>0</v>
      </c>
      <c r="CX41" s="254"/>
      <c r="CY41" s="254">
        <f t="shared" ref="CY41:DG41" si="34">SUM(CY10:CY40)</f>
        <v>0</v>
      </c>
      <c r="CZ41" s="254">
        <f t="shared" si="34"/>
        <v>0</v>
      </c>
      <c r="DA41" s="254">
        <f t="shared" si="34"/>
        <v>0</v>
      </c>
      <c r="DB41" s="254">
        <f t="shared" si="34"/>
        <v>0</v>
      </c>
      <c r="DC41" s="254">
        <f t="shared" si="34"/>
        <v>0</v>
      </c>
      <c r="DD41" s="254">
        <f t="shared" si="34"/>
        <v>0</v>
      </c>
      <c r="DE41" s="254">
        <f t="shared" si="34"/>
        <v>0</v>
      </c>
      <c r="DF41" s="254">
        <f t="shared" si="34"/>
        <v>0</v>
      </c>
      <c r="DG41" s="254">
        <f t="shared" si="34"/>
        <v>0</v>
      </c>
      <c r="DL41" t="str">
        <f t="shared" si="15"/>
        <v/>
      </c>
      <c r="DM41" t="str">
        <f t="shared" si="27"/>
        <v/>
      </c>
      <c r="DN41" t="str">
        <f t="shared" ref="DN41" si="35">DK41&amp;" "&amp;DL41&amp;" "&amp;DM41</f>
        <v xml:space="preserve">  </v>
      </c>
    </row>
    <row r="42" spans="1:118" ht="17" thickBot="1">
      <c r="A42" s="236"/>
      <c r="B42" s="236"/>
      <c r="C42" s="236"/>
      <c r="D42" s="236"/>
      <c r="E42" s="236"/>
      <c r="F42" s="236"/>
      <c r="G42" s="236"/>
      <c r="H42" s="236"/>
      <c r="I42" s="236"/>
      <c r="J42" s="236"/>
      <c r="K42" s="243"/>
      <c r="L42" s="243"/>
      <c r="M42" s="243"/>
      <c r="N42" s="243"/>
      <c r="O42" s="243"/>
      <c r="P42" s="243"/>
      <c r="Q42" s="243"/>
      <c r="R42" s="243"/>
      <c r="S42" s="243"/>
      <c r="T42" s="243"/>
      <c r="U42" s="243"/>
      <c r="V42" s="243"/>
      <c r="W42" s="243"/>
      <c r="X42" s="474"/>
      <c r="Y42" s="252"/>
      <c r="Z42" s="215"/>
      <c r="AA42" s="239"/>
      <c r="AB42" s="215"/>
      <c r="AC42" s="215"/>
      <c r="AD42" s="239"/>
      <c r="AE42" s="239"/>
      <c r="AF42" s="239"/>
      <c r="AG42" s="239"/>
      <c r="BC42" s="239"/>
      <c r="BD42" s="239"/>
      <c r="BE42" s="239"/>
      <c r="BF42" s="239"/>
      <c r="BG42" s="116"/>
      <c r="CB42" s="239"/>
      <c r="CC42" s="239"/>
      <c r="CD42" s="116"/>
      <c r="CX42" s="253"/>
      <c r="CZ42"/>
    </row>
    <row r="43" spans="1:118" ht="70" customHeight="1">
      <c r="A43" s="875" t="str">
        <f>"Arbejdstid for "&amp;A8&amp;" måned:"</f>
        <v>Arbejdstid for August måned:</v>
      </c>
      <c r="B43" s="876"/>
      <c r="C43" s="876"/>
      <c r="D43" s="876"/>
      <c r="E43" s="876"/>
      <c r="F43" s="876"/>
      <c r="G43" s="876"/>
      <c r="H43" s="347" t="s">
        <v>258</v>
      </c>
      <c r="I43" s="876" t="s">
        <v>224</v>
      </c>
      <c r="J43" s="877"/>
      <c r="K43" s="878"/>
      <c r="L43" s="267"/>
      <c r="M43" s="843" t="str">
        <f>"Ulempetimer og weekendtimer i "&amp;A6&amp;""</f>
        <v>Ulempetimer og weekendtimer i August måneds kalender for: . Måneden vedr. normperioden:  - .</v>
      </c>
      <c r="N43" s="844"/>
      <c r="O43" s="844"/>
      <c r="P43" s="844"/>
      <c r="Q43" s="844"/>
      <c r="R43" s="844"/>
      <c r="S43" s="844"/>
      <c r="T43" s="844"/>
      <c r="U43" s="844"/>
      <c r="V43" s="844"/>
      <c r="W43" s="844"/>
      <c r="X43" s="845"/>
      <c r="Y43" s="217"/>
      <c r="Z43" s="243"/>
      <c r="AA43" s="243"/>
      <c r="AB43" s="243"/>
      <c r="AG43" s="94"/>
      <c r="AH43" s="94"/>
      <c r="BO43" s="1"/>
      <c r="CL43" s="1"/>
      <c r="CW43" s="253"/>
      <c r="CX43" s="253"/>
      <c r="CY43"/>
      <c r="CZ43"/>
    </row>
    <row r="44" spans="1:118">
      <c r="A44" s="879" t="s">
        <v>601</v>
      </c>
      <c r="B44" s="880"/>
      <c r="C44" s="880"/>
      <c r="D44" s="880"/>
      <c r="E44" s="880"/>
      <c r="F44" s="880"/>
      <c r="G44" s="880"/>
      <c r="H44" s="261">
        <f>D78</f>
        <v>23</v>
      </c>
      <c r="I44" s="892">
        <f>IF(Stamoplysninger!$E$12="Ja",1924/Arbejdstidsoversigt!$K$9*Stamoplysninger!$E$15*$H$44,August!$H$44*7.4*Stamoplysninger!$E$15)</f>
        <v>0</v>
      </c>
      <c r="J44" s="893"/>
      <c r="K44" s="894"/>
      <c r="L44" s="263"/>
      <c r="M44" s="846" t="s">
        <v>550</v>
      </c>
      <c r="N44" s="847"/>
      <c r="O44" s="847"/>
      <c r="P44" s="847"/>
      <c r="Q44" s="847"/>
      <c r="R44" s="847"/>
      <c r="S44" s="847"/>
      <c r="T44" s="847"/>
      <c r="U44" s="848"/>
      <c r="V44" s="849">
        <f>M69+N69+M70+M72+M76+N76+S68+T68</f>
        <v>0</v>
      </c>
      <c r="W44" s="850"/>
      <c r="X44" s="851"/>
      <c r="Y44" s="243"/>
      <c r="Z44" s="243"/>
      <c r="AA44" s="243"/>
      <c r="AB44" s="243"/>
      <c r="AG44" s="94"/>
      <c r="AH44" s="94"/>
      <c r="BO44" s="1"/>
      <c r="CL44" s="1"/>
      <c r="CW44" s="253"/>
      <c r="CX44" s="253"/>
      <c r="CY44"/>
      <c r="CZ44"/>
    </row>
    <row r="45" spans="1:118">
      <c r="A45" s="879" t="str">
        <f>"Ferie "&amp;A8&amp;" måned"</f>
        <v>Ferie August måned</v>
      </c>
      <c r="B45" s="880"/>
      <c r="C45" s="880"/>
      <c r="D45" s="880"/>
      <c r="E45" s="880"/>
      <c r="F45" s="880"/>
      <c r="G45" s="880"/>
      <c r="H45" s="262">
        <f>IF(D73&gt;0,$D$73,"0")</f>
        <v>2</v>
      </c>
      <c r="I45" s="881">
        <f>H45*7.4*Stamoplysninger!$E$15</f>
        <v>0</v>
      </c>
      <c r="J45" s="882"/>
      <c r="K45" s="883"/>
      <c r="L45" s="263"/>
      <c r="M45" s="852" t="s">
        <v>262</v>
      </c>
      <c r="N45" s="853"/>
      <c r="O45" s="853"/>
      <c r="P45" s="853"/>
      <c r="Q45" s="853"/>
      <c r="R45" s="853"/>
      <c r="S45" s="853"/>
      <c r="T45" s="853"/>
      <c r="U45" s="854"/>
      <c r="V45" s="855">
        <f>M67+N67+M68+M71+M75+N75+S67+T67</f>
        <v>0</v>
      </c>
      <c r="W45" s="856"/>
      <c r="X45" s="857"/>
      <c r="Y45" s="243"/>
      <c r="Z45" s="243"/>
      <c r="AA45" s="243"/>
      <c r="AB45" s="243"/>
      <c r="AG45" s="94"/>
      <c r="AH45" s="94"/>
      <c r="BO45" s="1"/>
      <c r="CL45" s="1"/>
      <c r="CW45" s="253"/>
      <c r="CX45" s="253"/>
      <c r="CY45"/>
      <c r="CZ45"/>
    </row>
    <row r="46" spans="1:118">
      <c r="A46" s="879" t="str">
        <f>"Søgnehelligdage i "&amp;A8&amp;" måned"</f>
        <v>Søgnehelligdage i August måned</v>
      </c>
      <c r="B46" s="880"/>
      <c r="C46" s="880"/>
      <c r="D46" s="880"/>
      <c r="E46" s="880"/>
      <c r="F46" s="880"/>
      <c r="G46" s="880"/>
      <c r="H46" s="262">
        <f>IF(D72&gt;0,D72,0)</f>
        <v>0</v>
      </c>
      <c r="I46" s="881">
        <f>H46*7.4*Stamoplysninger!$E$15</f>
        <v>0</v>
      </c>
      <c r="J46" s="882"/>
      <c r="K46" s="883"/>
      <c r="L46" s="414"/>
      <c r="M46" s="858" t="s">
        <v>480</v>
      </c>
      <c r="N46" s="859"/>
      <c r="O46" s="859"/>
      <c r="P46" s="859"/>
      <c r="Q46" s="859"/>
      <c r="R46" s="859"/>
      <c r="S46" s="859"/>
      <c r="T46" s="859"/>
      <c r="U46" s="859"/>
      <c r="V46" s="860"/>
      <c r="W46" s="860"/>
      <c r="X46" s="861"/>
      <c r="Y46" s="243"/>
      <c r="Z46" s="243"/>
      <c r="AA46" s="243"/>
      <c r="AB46" s="243"/>
      <c r="AG46" s="94"/>
      <c r="AH46" s="94"/>
      <c r="BO46" s="1"/>
      <c r="CL46" s="1"/>
      <c r="CW46" s="253"/>
      <c r="CX46" s="253"/>
      <c r="CY46"/>
      <c r="CZ46"/>
    </row>
    <row r="47" spans="1:118">
      <c r="A47" s="879" t="str">
        <f>"Nettoarbejdstid ialt i "&amp;A8&amp;" måned"</f>
        <v>Nettoarbejdstid ialt i August måned</v>
      </c>
      <c r="B47" s="880"/>
      <c r="C47" s="880"/>
      <c r="D47" s="880"/>
      <c r="E47" s="880"/>
      <c r="F47" s="880"/>
      <c r="G47" s="880"/>
      <c r="H47" s="265">
        <f>H44-H45-H46</f>
        <v>21</v>
      </c>
      <c r="I47" s="881">
        <f>I44-I45-I46</f>
        <v>0</v>
      </c>
      <c r="J47" s="882"/>
      <c r="K47" s="883"/>
      <c r="L47" s="414"/>
      <c r="M47" s="862" t="s">
        <v>308</v>
      </c>
      <c r="N47" s="863"/>
      <c r="O47" s="863"/>
      <c r="P47" s="863"/>
      <c r="Q47" s="863"/>
      <c r="R47" s="863"/>
      <c r="S47" s="863"/>
      <c r="T47" s="863"/>
      <c r="U47" s="864"/>
      <c r="V47" s="865">
        <f>V45+V46</f>
        <v>0</v>
      </c>
      <c r="W47" s="866"/>
      <c r="X47" s="867"/>
      <c r="Y47" s="243"/>
      <c r="Z47" s="243"/>
      <c r="AA47" s="243"/>
      <c r="AB47" s="243"/>
      <c r="AG47" s="94"/>
      <c r="AH47" s="94"/>
      <c r="BO47" s="1"/>
      <c r="CL47" s="1"/>
      <c r="CW47" s="253"/>
      <c r="CX47" s="253"/>
      <c r="CY47"/>
      <c r="CZ47"/>
    </row>
    <row r="48" spans="1:118">
      <c r="A48" s="895" t="str">
        <f>"Planlagt arbejdstid efter ovennstående "&amp;A8&amp;" måned kalender"</f>
        <v>Planlagt arbejdstid efter ovennstående August måned kalender</v>
      </c>
      <c r="B48" s="896"/>
      <c r="C48" s="896"/>
      <c r="D48" s="896"/>
      <c r="E48" s="896"/>
      <c r="F48" s="896"/>
      <c r="G48" s="896"/>
      <c r="H48" s="521">
        <f>D64+D65+D66+D67+D68+D69+D70</f>
        <v>14</v>
      </c>
      <c r="I48" s="897">
        <f>N41+R41-J64</f>
        <v>0</v>
      </c>
      <c r="J48" s="834"/>
      <c r="K48" s="898"/>
      <c r="L48" s="414"/>
      <c r="M48" s="817" t="s">
        <v>299</v>
      </c>
      <c r="N48" s="818"/>
      <c r="O48" s="818"/>
      <c r="P48" s="818"/>
      <c r="Q48" s="818"/>
      <c r="R48" s="818"/>
      <c r="S48" s="818"/>
      <c r="T48" s="818"/>
      <c r="U48" s="818"/>
      <c r="V48" s="818"/>
      <c r="W48" s="818"/>
      <c r="X48" s="819"/>
      <c r="Y48" s="243"/>
      <c r="Z48" s="243"/>
      <c r="AA48" s="243"/>
      <c r="AB48" s="243"/>
      <c r="AG48" s="94"/>
      <c r="AH48" s="94"/>
      <c r="BO48" s="1"/>
      <c r="CL48" s="1"/>
      <c r="CW48" s="253"/>
      <c r="CX48" s="253"/>
      <c r="CY48"/>
      <c r="CZ48"/>
    </row>
    <row r="49" spans="1:111">
      <c r="A49" s="902" t="s">
        <v>492</v>
      </c>
      <c r="B49" s="903"/>
      <c r="C49" s="903"/>
      <c r="D49" s="903"/>
      <c r="E49" s="903"/>
      <c r="F49" s="903"/>
      <c r="G49" s="903"/>
      <c r="H49" s="904"/>
      <c r="I49" s="899">
        <f>(M67+M69+M77+M79+M73+M74+M78)*-1</f>
        <v>0</v>
      </c>
      <c r="J49" s="900"/>
      <c r="K49" s="901"/>
      <c r="L49" s="414"/>
      <c r="M49" s="820" t="s">
        <v>506</v>
      </c>
      <c r="N49" s="821"/>
      <c r="O49" s="821"/>
      <c r="P49" s="821"/>
      <c r="Q49" s="821"/>
      <c r="R49" s="821"/>
      <c r="S49" s="821"/>
      <c r="T49" s="821"/>
      <c r="U49" s="822"/>
      <c r="V49" s="823" t="s">
        <v>224</v>
      </c>
      <c r="W49" s="824"/>
      <c r="X49" s="825"/>
      <c r="Y49" s="243"/>
      <c r="Z49" s="243"/>
      <c r="AA49" s="243"/>
      <c r="AB49" s="243"/>
      <c r="AG49" s="94"/>
      <c r="AH49" s="94"/>
      <c r="BO49" s="1"/>
      <c r="CL49" s="1"/>
      <c r="CW49" s="253"/>
      <c r="CX49" s="253"/>
      <c r="CY49"/>
      <c r="CZ49"/>
    </row>
    <row r="50" spans="1:111">
      <c r="A50" s="837" t="str">
        <f>"Arbejde særligt planlagt for "&amp;A8&amp;" måned efter fanen skemaoplysninger"</f>
        <v>Arbejde særligt planlagt for August måned efter fanen skemaoplysninger</v>
      </c>
      <c r="B50" s="838"/>
      <c r="C50" s="838"/>
      <c r="D50" s="838"/>
      <c r="E50" s="838"/>
      <c r="F50" s="838"/>
      <c r="G50" s="838"/>
      <c r="H50" s="839"/>
      <c r="I50" s="834">
        <f>Skemaoplysninger!K91</f>
        <v>0</v>
      </c>
      <c r="J50" s="835"/>
      <c r="K50" s="836"/>
      <c r="L50" s="415"/>
      <c r="M50" s="805"/>
      <c r="N50" s="806"/>
      <c r="O50" s="806"/>
      <c r="P50" s="806"/>
      <c r="Q50" s="806"/>
      <c r="R50" s="806"/>
      <c r="S50" s="806"/>
      <c r="T50" s="806"/>
      <c r="U50" s="807"/>
      <c r="V50" s="826"/>
      <c r="W50" s="826"/>
      <c r="X50" s="827"/>
      <c r="Y50" s="243"/>
      <c r="Z50" s="243"/>
      <c r="AA50" s="243"/>
      <c r="AB50" s="243"/>
      <c r="AG50" s="94"/>
      <c r="AH50" s="94"/>
      <c r="BO50" s="1"/>
      <c r="CL50" s="1"/>
      <c r="CW50" s="253"/>
      <c r="CX50" s="253"/>
      <c r="CY50"/>
      <c r="CZ50"/>
    </row>
    <row r="51" spans="1:111">
      <c r="A51" s="884" t="s">
        <v>491</v>
      </c>
      <c r="B51" s="885"/>
      <c r="C51" s="885"/>
      <c r="D51" s="885"/>
      <c r="E51" s="885"/>
      <c r="F51" s="885"/>
      <c r="G51" s="885"/>
      <c r="H51" s="885"/>
      <c r="I51" s="886">
        <f>V41+X41-N64-P63-N63</f>
        <v>0</v>
      </c>
      <c r="J51" s="887"/>
      <c r="K51" s="888"/>
      <c r="L51" s="416"/>
      <c r="M51" s="805"/>
      <c r="N51" s="806"/>
      <c r="O51" s="806"/>
      <c r="P51" s="806"/>
      <c r="Q51" s="806"/>
      <c r="R51" s="806"/>
      <c r="S51" s="806"/>
      <c r="T51" s="806"/>
      <c r="U51" s="807"/>
      <c r="V51" s="808"/>
      <c r="W51" s="809"/>
      <c r="X51" s="810"/>
      <c r="Y51" s="252"/>
      <c r="Z51" s="243"/>
      <c r="AB51" s="243"/>
      <c r="AC51" s="243"/>
      <c r="AI51" s="94"/>
      <c r="AJ51" s="94"/>
      <c r="BC51" s="243"/>
      <c r="BQ51" s="1"/>
      <c r="CN51" s="1"/>
      <c r="CX51" s="253"/>
      <c r="CZ51"/>
    </row>
    <row r="52" spans="1:111" ht="17" thickBot="1">
      <c r="A52" s="266" t="str">
        <f>"Faktisk arbejdstid ialt i "&amp;A8&amp;" måned"</f>
        <v>Faktisk arbejdstid ialt i August måned</v>
      </c>
      <c r="B52" s="330"/>
      <c r="C52" s="331"/>
      <c r="D52" s="331"/>
      <c r="E52" s="331"/>
      <c r="F52" s="331"/>
      <c r="G52" s="331"/>
      <c r="H52" s="332"/>
      <c r="I52" s="840">
        <f>I48+I51+I50+I49</f>
        <v>0</v>
      </c>
      <c r="J52" s="841"/>
      <c r="K52" s="842"/>
      <c r="L52" s="245"/>
      <c r="M52" s="805"/>
      <c r="N52" s="806"/>
      <c r="O52" s="806"/>
      <c r="P52" s="806"/>
      <c r="Q52" s="806"/>
      <c r="R52" s="806"/>
      <c r="S52" s="806"/>
      <c r="T52" s="806"/>
      <c r="U52" s="807"/>
      <c r="V52" s="808"/>
      <c r="W52" s="809"/>
      <c r="X52" s="810"/>
      <c r="Y52" s="252"/>
      <c r="Z52" s="243"/>
      <c r="AB52" s="243"/>
      <c r="AC52" s="243"/>
      <c r="AH52" s="94"/>
      <c r="AI52" s="94"/>
      <c r="BP52" s="1"/>
      <c r="CM52" s="1"/>
      <c r="CX52" s="253"/>
      <c r="CZ52"/>
    </row>
    <row r="53" spans="1:111" ht="17" thickBot="1">
      <c r="A53" s="260"/>
      <c r="B53" s="260"/>
      <c r="C53" s="260"/>
      <c r="D53" s="260"/>
      <c r="E53" s="260"/>
      <c r="F53" s="260"/>
      <c r="G53" s="260"/>
      <c r="H53" s="260"/>
      <c r="I53" s="577"/>
      <c r="J53" s="577"/>
      <c r="K53" s="577"/>
      <c r="L53" s="551"/>
      <c r="M53" s="805"/>
      <c r="N53" s="806"/>
      <c r="O53" s="806"/>
      <c r="P53" s="806"/>
      <c r="Q53" s="806"/>
      <c r="R53" s="806"/>
      <c r="S53" s="806"/>
      <c r="T53" s="806"/>
      <c r="U53" s="807"/>
      <c r="V53" s="808"/>
      <c r="W53" s="809"/>
      <c r="X53" s="810"/>
      <c r="Y53" s="243"/>
      <c r="Z53" s="243"/>
      <c r="AA53" s="243"/>
      <c r="AB53" s="243"/>
      <c r="AC53" s="218"/>
      <c r="AD53" s="252"/>
      <c r="AE53" s="252"/>
      <c r="AF53" s="252"/>
      <c r="AG53" s="252"/>
      <c r="AH53" s="243"/>
      <c r="AJ53" s="243"/>
      <c r="AK53" s="243"/>
      <c r="AO53" s="94"/>
      <c r="AP53" s="94"/>
      <c r="BW53" s="1"/>
      <c r="CT53" s="1"/>
      <c r="CY53"/>
      <c r="CZ53"/>
      <c r="DE53" s="253"/>
      <c r="DF53" s="253"/>
    </row>
    <row r="54" spans="1:111" ht="39" customHeight="1" thickBot="1">
      <c r="A54" s="875" t="s">
        <v>527</v>
      </c>
      <c r="B54" s="876"/>
      <c r="C54" s="876"/>
      <c r="D54" s="876"/>
      <c r="E54" s="876"/>
      <c r="F54" s="876"/>
      <c r="G54" s="876"/>
      <c r="H54" s="670" t="s">
        <v>614</v>
      </c>
      <c r="I54" s="844" t="s">
        <v>533</v>
      </c>
      <c r="J54" s="844"/>
      <c r="K54" s="845"/>
      <c r="L54" s="551"/>
      <c r="M54" s="811" t="s">
        <v>300</v>
      </c>
      <c r="N54" s="812"/>
      <c r="O54" s="812"/>
      <c r="P54" s="812"/>
      <c r="Q54" s="812"/>
      <c r="R54" s="812"/>
      <c r="S54" s="812"/>
      <c r="T54" s="812"/>
      <c r="U54" s="813"/>
      <c r="V54" s="814">
        <f>V47-SUM(V50:X53)</f>
        <v>0</v>
      </c>
      <c r="W54" s="815"/>
      <c r="X54" s="816"/>
      <c r="Y54" s="243"/>
      <c r="Z54" s="243"/>
      <c r="AA54" s="243"/>
      <c r="AB54" s="243"/>
      <c r="AC54" s="218"/>
      <c r="AD54" s="252"/>
      <c r="AE54" s="252"/>
      <c r="AF54" s="252"/>
      <c r="AG54" s="252"/>
      <c r="AH54" s="243"/>
      <c r="AJ54" s="243"/>
      <c r="AK54" s="243"/>
      <c r="AO54" s="94"/>
      <c r="AP54" s="94"/>
      <c r="BW54" s="1"/>
      <c r="CT54" s="1"/>
      <c r="CY54"/>
      <c r="CZ54"/>
      <c r="DE54" s="253"/>
      <c r="DF54" s="253"/>
    </row>
    <row r="55" spans="1:111" ht="16" customHeight="1">
      <c r="A55" s="905"/>
      <c r="B55" s="906"/>
      <c r="C55" s="906"/>
      <c r="D55" s="906"/>
      <c r="E55" s="906"/>
      <c r="F55" s="906"/>
      <c r="G55" s="906"/>
      <c r="H55" s="664"/>
      <c r="I55" s="860"/>
      <c r="J55" s="860"/>
      <c r="K55" s="861"/>
      <c r="L55" s="551"/>
      <c r="M55" s="578"/>
      <c r="N55" s="578"/>
      <c r="O55" s="578"/>
      <c r="P55" s="578"/>
      <c r="Q55" s="579"/>
      <c r="R55" s="580"/>
      <c r="S55" s="580"/>
      <c r="T55" s="580"/>
      <c r="U55" s="580"/>
      <c r="V55" s="578"/>
      <c r="W55" s="581"/>
      <c r="X55" s="578"/>
      <c r="Y55" s="243"/>
      <c r="Z55" s="243"/>
      <c r="AA55" s="243"/>
      <c r="AB55" s="243"/>
      <c r="AC55" s="218"/>
      <c r="AD55" s="252"/>
      <c r="AE55" s="252"/>
      <c r="AF55" s="252"/>
      <c r="AG55" s="252"/>
      <c r="AH55" s="243"/>
      <c r="AJ55" s="243"/>
      <c r="AK55" s="243"/>
      <c r="AO55" s="94"/>
      <c r="AP55" s="94"/>
      <c r="BW55" s="1"/>
      <c r="CT55" s="1"/>
      <c r="CY55"/>
      <c r="CZ55"/>
      <c r="DE55" s="253"/>
      <c r="DF55" s="253"/>
    </row>
    <row r="56" spans="1:111" ht="37" customHeight="1">
      <c r="A56" s="802" t="s">
        <v>616</v>
      </c>
      <c r="B56" s="803"/>
      <c r="C56" s="803"/>
      <c r="D56" s="803"/>
      <c r="E56" s="803"/>
      <c r="F56" s="803"/>
      <c r="G56" s="803"/>
      <c r="H56" s="803"/>
      <c r="I56" s="803"/>
      <c r="J56" s="803"/>
      <c r="K56" s="804"/>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1" ht="35" customHeight="1">
      <c r="A57" s="907" t="s">
        <v>615</v>
      </c>
      <c r="B57" s="908"/>
      <c r="C57" s="958" t="s">
        <v>566</v>
      </c>
      <c r="D57" s="959"/>
      <c r="E57" s="960" t="s">
        <v>567</v>
      </c>
      <c r="F57" s="803"/>
      <c r="G57" s="961"/>
      <c r="H57" s="970" t="s">
        <v>528</v>
      </c>
      <c r="I57" s="970"/>
      <c r="J57" s="970"/>
      <c r="K57" s="971"/>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1">
      <c r="A58" s="962"/>
      <c r="B58" s="963"/>
      <c r="C58" s="966"/>
      <c r="D58" s="965"/>
      <c r="E58" s="967"/>
      <c r="F58" s="968"/>
      <c r="G58" s="969"/>
      <c r="H58" s="665"/>
      <c r="I58" s="956"/>
      <c r="J58" s="956"/>
      <c r="K58" s="957"/>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1">
      <c r="A59" s="964"/>
      <c r="B59" s="965"/>
      <c r="C59" s="966"/>
      <c r="D59" s="965"/>
      <c r="E59" s="967"/>
      <c r="F59" s="968"/>
      <c r="G59" s="969"/>
      <c r="H59" s="665"/>
      <c r="I59" s="956"/>
      <c r="J59" s="956"/>
      <c r="K59" s="957"/>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1">
      <c r="A60" s="964"/>
      <c r="B60" s="965"/>
      <c r="C60" s="966"/>
      <c r="D60" s="965"/>
      <c r="E60" s="967"/>
      <c r="F60" s="968"/>
      <c r="G60" s="969"/>
      <c r="H60" s="665"/>
      <c r="I60" s="956"/>
      <c r="J60" s="956"/>
      <c r="K60" s="957"/>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1">
      <c r="A61" s="964"/>
      <c r="B61" s="965"/>
      <c r="C61" s="966"/>
      <c r="D61" s="965"/>
      <c r="E61" s="967"/>
      <c r="F61" s="968"/>
      <c r="G61" s="969"/>
      <c r="H61" s="665"/>
      <c r="I61" s="956"/>
      <c r="J61" s="956"/>
      <c r="K61" s="957"/>
      <c r="L61" s="551"/>
      <c r="M61" s="578"/>
      <c r="N61" s="578"/>
      <c r="O61" s="578"/>
      <c r="P61" s="578"/>
      <c r="Q61" s="579"/>
      <c r="R61" s="580"/>
      <c r="S61" s="580"/>
      <c r="T61" s="580"/>
      <c r="U61" s="580"/>
      <c r="V61" s="578"/>
      <c r="W61" s="581"/>
      <c r="X61" s="578"/>
      <c r="Y61" s="243"/>
      <c r="Z61" s="243"/>
      <c r="AA61" s="243"/>
      <c r="AB61" s="243"/>
      <c r="AC61" s="218"/>
      <c r="AD61" s="252"/>
      <c r="AE61" s="252"/>
      <c r="AF61" s="252"/>
      <c r="AG61" s="252"/>
      <c r="AH61" s="243"/>
      <c r="AJ61" s="243"/>
      <c r="AK61" s="243"/>
      <c r="AO61" s="94"/>
      <c r="AP61" s="94"/>
      <c r="BW61" s="1"/>
      <c r="CT61" s="1"/>
      <c r="CY61"/>
      <c r="CZ61"/>
      <c r="DE61" s="253"/>
      <c r="DF61" s="253"/>
    </row>
    <row r="62" spans="1:111" ht="17" thickBot="1">
      <c r="A62" s="953" t="s">
        <v>529</v>
      </c>
      <c r="B62" s="954"/>
      <c r="C62" s="955"/>
      <c r="D62" s="955"/>
      <c r="E62" s="955"/>
      <c r="F62" s="955"/>
      <c r="G62" s="955"/>
      <c r="H62" s="667">
        <f>H55-SUM(H58:H61)</f>
        <v>0</v>
      </c>
      <c r="I62" s="950">
        <f>I55-SUM(I58:K61)</f>
        <v>0</v>
      </c>
      <c r="J62" s="951"/>
      <c r="K62" s="952"/>
      <c r="L62" s="551"/>
      <c r="M62" s="578"/>
      <c r="N62" s="578"/>
      <c r="O62" s="578"/>
      <c r="P62" s="578"/>
      <c r="Q62" s="579"/>
      <c r="R62" s="580"/>
      <c r="S62" s="580"/>
      <c r="T62" s="580"/>
      <c r="U62" s="580"/>
      <c r="V62" s="578"/>
      <c r="W62" s="581"/>
      <c r="X62" s="578"/>
      <c r="Y62" s="243"/>
      <c r="Z62" s="243"/>
      <c r="AA62" s="243"/>
      <c r="AB62" s="243"/>
      <c r="AC62" s="218"/>
      <c r="AD62" s="252"/>
      <c r="AE62" s="252"/>
      <c r="AF62" s="252"/>
      <c r="AG62" s="252"/>
      <c r="AH62" s="243"/>
      <c r="AJ62" s="243"/>
      <c r="AK62" s="243"/>
      <c r="AO62" s="94"/>
      <c r="AP62" s="94"/>
      <c r="BW62" s="1"/>
      <c r="CT62" s="1"/>
      <c r="CY62"/>
      <c r="CZ62"/>
      <c r="DE62" s="253"/>
      <c r="DF62" s="253"/>
    </row>
    <row r="63" spans="1:111" hidden="1">
      <c r="A63" s="545"/>
      <c r="B63" s="545"/>
      <c r="C63" s="545"/>
      <c r="D63" s="545"/>
      <c r="E63" s="545"/>
      <c r="F63" s="545"/>
      <c r="G63" s="545"/>
      <c r="H63" s="546"/>
      <c r="I63" s="547" t="s">
        <v>496</v>
      </c>
      <c r="J63" s="547"/>
      <c r="K63" s="545" t="s">
        <v>297</v>
      </c>
      <c r="L63" s="550"/>
      <c r="M63" s="550"/>
      <c r="N63" s="550">
        <f>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relevant",V37,0)+IF($C$38="Ikke relevant",V38,0)+IF($C$39="Ikke relevant",V39,0)+IF($C$40="Ikke relevant",V40,0)</f>
        <v>0</v>
      </c>
      <c r="O63" s="550">
        <f t="shared" ref="O63" si="36">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relevant",W37,0)+IF($C$38="Ikke relevant",W38,0)+IF($C$39="Ikke relevant",W39,0)+IF($C$40="Ikke relevant",W40,0)</f>
        <v>0</v>
      </c>
      <c r="P63" s="550">
        <f>IF($C$10="Ikke relevant",X10,0)+IF($C$11="Ikke relevant",X11,0)+IF($C$12="Ikke relevant",X12,0)+IF($C$13="Ikke relevant",X13,0)+IF($C$14="Ikke relevant",X14,0)+IF($C$15="Ikke relevant",X15,0)+IF($C$16="Ikke relevant",X16,0)+IF($C$17="Ikke relevant",X17,0)+IF($C$18="Ikke relevant",X18,0)+IF($C$19="Ikke relevant",X19,0)+IF($C$20="Ikke relevant",X20,0)+IF($C$21="Ikke relevant",X21,0)+IF($C$22="Ikke relevant",X22,0)+IF($C$23="Ikke relevant",X23,0)+IF($C$24="Ikke relevant",X24,0)+IF($C$25="Ikke relevant",X25,0)+IF($C$26="Ikke relevant",X26,0)+IF($C$27="Ikke relevant",X27,0)+IF($C$28="Ikke relevant",X28,0)+IF($C$29="Ikke relevant",X29,0)+IF($C$30="Ikke relevant",X30,0)+IF($C$31="Ikke relevant",X31,0)+IF($C$32="Ikke relevant",X32,0)+IF($C$33="Ikke relevant",X33,0)+IF($C$34="Ikke relevant",X34,0)+IF($C$35="Ikke relevant",X35,0)+IF($C$36="Ikke relevant",X36,0)+IF($C$37="Ikke relevant",X37,0)+IF($C$38="Ikke relevant",X38,0)+IF($C$39="Ikke relevant",X39,0)+IF($C$40="Ikke relevant",X40,0)</f>
        <v>0</v>
      </c>
      <c r="Q63" s="579" t="s">
        <v>622</v>
      </c>
      <c r="R63" s="580"/>
      <c r="S63" s="580"/>
      <c r="T63" s="580"/>
      <c r="U63" s="580"/>
      <c r="V63" s="578"/>
      <c r="W63" s="581"/>
      <c r="X63" s="578"/>
      <c r="Y63" s="243"/>
      <c r="Z63" s="243"/>
      <c r="AA63" s="243"/>
      <c r="AB63" s="243"/>
      <c r="AC63" s="218"/>
      <c r="AD63" s="252"/>
      <c r="AE63" s="252"/>
      <c r="AF63" s="252"/>
      <c r="AG63" s="252"/>
      <c r="AH63" s="243"/>
      <c r="AJ63" s="243"/>
      <c r="AK63" s="243"/>
      <c r="AO63" s="94"/>
      <c r="AP63" s="94"/>
      <c r="BW63" s="1"/>
      <c r="CT63" s="1"/>
      <c r="CY63"/>
      <c r="CZ63"/>
      <c r="DE63" s="253"/>
      <c r="DF63" s="253"/>
    </row>
    <row r="64" spans="1:111" hidden="1">
      <c r="A64" s="558" t="s">
        <v>209</v>
      </c>
      <c r="B64" s="558"/>
      <c r="C64" s="558"/>
      <c r="D64" s="558">
        <f>COUNTIF([0]!AUGUST,"Skema 1")</f>
        <v>14</v>
      </c>
      <c r="E64" s="559"/>
      <c r="F64" s="558" t="s">
        <v>189</v>
      </c>
      <c r="G64" s="558">
        <f>COUNTIFS($B$10:$B$40,"ma",[0]!AUGUST,"Skema 1")</f>
        <v>3</v>
      </c>
      <c r="H64" s="547"/>
      <c r="I64" s="552" t="s">
        <v>329</v>
      </c>
      <c r="J64" s="550">
        <f>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relevant",R39,0)+IF($C$40="Ikke relevant",R40,0)</f>
        <v>0</v>
      </c>
      <c r="K64" s="550"/>
      <c r="L64" s="552"/>
      <c r="M64" s="463">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64" s="463">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64" s="463"/>
      <c r="P64" s="354"/>
      <c r="Q64" s="465" t="s">
        <v>331</v>
      </c>
      <c r="R64" s="234"/>
      <c r="S64" s="234"/>
      <c r="T64" s="234" t="s">
        <v>332</v>
      </c>
      <c r="U64" s="234"/>
      <c r="V64" s="234"/>
      <c r="W64" s="122"/>
      <c r="X64" s="122"/>
      <c r="Y64" s="243"/>
      <c r="Z64" s="243"/>
      <c r="AA64" s="243"/>
      <c r="AB64" s="243"/>
      <c r="AC64" s="243"/>
      <c r="AD64" s="218"/>
      <c r="AE64" s="252"/>
      <c r="AF64" s="252"/>
      <c r="AG64" s="252"/>
      <c r="AH64" s="252"/>
      <c r="AI64" s="243"/>
      <c r="AK64" s="243"/>
      <c r="AL64" s="243"/>
      <c r="AP64" s="94"/>
      <c r="AQ64" s="94"/>
      <c r="BX64" s="1"/>
      <c r="CU64" s="1"/>
      <c r="CY64"/>
      <c r="CZ64"/>
      <c r="DF64" s="253"/>
      <c r="DG64" s="253"/>
    </row>
    <row r="65" spans="1:111" hidden="1">
      <c r="A65" s="874" t="s">
        <v>210</v>
      </c>
      <c r="B65" s="874"/>
      <c r="C65" s="874"/>
      <c r="D65" s="558">
        <f>COUNTIF([0]!AUGUST,"Skema 2")</f>
        <v>0</v>
      </c>
      <c r="E65" s="559"/>
      <c r="F65" s="558" t="s">
        <v>190</v>
      </c>
      <c r="G65" s="558">
        <f>COUNTIFS($B$10:$B$40,"ti",[0]!AUGUST,"Skema 1")</f>
        <v>3</v>
      </c>
      <c r="H65" s="547"/>
      <c r="I65" s="552" t="s">
        <v>343</v>
      </c>
      <c r="J65" s="550"/>
      <c r="K65" s="552"/>
      <c r="L65" s="554"/>
      <c r="M65" s="463">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65" s="463">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65" s="464">
        <v>0.5</v>
      </c>
      <c r="P65" s="354"/>
      <c r="Q65" s="465" t="s">
        <v>328</v>
      </c>
      <c r="R65" s="234"/>
      <c r="S65" s="234"/>
      <c r="T65" s="234"/>
      <c r="U65" s="234"/>
      <c r="V65" s="234"/>
      <c r="W65" s="122"/>
      <c r="X65" s="122"/>
      <c r="Y65" s="243"/>
      <c r="Z65" s="243"/>
      <c r="AA65" s="243"/>
      <c r="AB65" s="243"/>
      <c r="AC65" s="243"/>
      <c r="AD65" s="218"/>
      <c r="AE65" s="252"/>
      <c r="AF65" s="252"/>
      <c r="AG65" s="252"/>
      <c r="AH65" s="252"/>
      <c r="AI65" s="243"/>
      <c r="AK65" s="243"/>
      <c r="AL65" s="243"/>
      <c r="AP65" s="94"/>
      <c r="AQ65" s="94"/>
      <c r="BX65" s="1"/>
      <c r="CU65" s="1"/>
      <c r="CY65"/>
      <c r="CZ65"/>
      <c r="DF65" s="253"/>
      <c r="DG65" s="253"/>
    </row>
    <row r="66" spans="1:111" hidden="1">
      <c r="A66" s="874" t="s">
        <v>211</v>
      </c>
      <c r="B66" s="874"/>
      <c r="C66" s="874"/>
      <c r="D66" s="558">
        <f>COUNTIF([0]!AUGUST,"Skema 3")</f>
        <v>0</v>
      </c>
      <c r="E66" s="559"/>
      <c r="F66" s="558" t="s">
        <v>191</v>
      </c>
      <c r="G66" s="558">
        <f>COUNTIFS($B$10:$B$40,"on",[0]!AUGUST,"Skema 1")</f>
        <v>3</v>
      </c>
      <c r="H66" s="547"/>
      <c r="I66" s="547" t="s">
        <v>342</v>
      </c>
      <c r="J66" s="550"/>
      <c r="K66" s="552"/>
      <c r="L66" s="554"/>
      <c r="M66" s="463">
        <f>SUM(M64:M65)</f>
        <v>0</v>
      </c>
      <c r="N66" s="463">
        <f>SUM(N64:N65)</f>
        <v>0</v>
      </c>
      <c r="O66" s="463">
        <f>(M66+N66)/2</f>
        <v>0</v>
      </c>
      <c r="P66" s="354">
        <f>SUM(M66:O66)</f>
        <v>0</v>
      </c>
      <c r="Q66" s="465">
        <f>(M66+N66)*25%</f>
        <v>0</v>
      </c>
      <c r="R66" s="234"/>
      <c r="S66" s="234"/>
      <c r="T66" s="234"/>
      <c r="U66" s="234"/>
      <c r="V66" s="234"/>
      <c r="W66" s="122"/>
      <c r="X66" s="122"/>
      <c r="Y66" s="243"/>
      <c r="Z66" s="243"/>
      <c r="AA66" s="243"/>
      <c r="AB66" s="243"/>
      <c r="AC66" s="243"/>
      <c r="AD66" s="218"/>
      <c r="AE66" s="252"/>
      <c r="AF66" s="252"/>
      <c r="AG66" s="252"/>
      <c r="AH66" s="252"/>
      <c r="AI66" s="243"/>
      <c r="AK66" s="243"/>
      <c r="AL66" s="243"/>
      <c r="AP66" s="94"/>
      <c r="AQ66" s="94"/>
      <c r="BX66" s="1"/>
      <c r="CU66" s="1"/>
      <c r="CY66"/>
      <c r="CZ66"/>
      <c r="DF66" s="253"/>
      <c r="DG66" s="253"/>
    </row>
    <row r="67" spans="1:111" hidden="1">
      <c r="A67" s="874" t="s">
        <v>212</v>
      </c>
      <c r="B67" s="874"/>
      <c r="C67" s="874"/>
      <c r="D67" s="558">
        <f>COUNTIF([0]!AUGUST,"Skema 4")</f>
        <v>0</v>
      </c>
      <c r="E67" s="559"/>
      <c r="F67" s="558" t="s">
        <v>193</v>
      </c>
      <c r="G67" s="558">
        <f>COUNTIFS($B$10:$B$40,"to",[0]!AUGUST,"Skema 1")</f>
        <v>3</v>
      </c>
      <c r="H67" s="547"/>
      <c r="I67" s="547" t="s">
        <v>482</v>
      </c>
      <c r="J67" s="550"/>
      <c r="K67" s="552"/>
      <c r="L67" s="554"/>
      <c r="M67" s="513">
        <f>IF(Stamoplysninger!$B$26="Weekendtimer og weekendtillæg afspadseres.",M64,0)</f>
        <v>0</v>
      </c>
      <c r="N67" s="513">
        <f>IF(Stamoplysninger!$B$26="Weekendtimer og weekendtillæg afspadseres.",N64,0)</f>
        <v>0</v>
      </c>
      <c r="O67" s="463"/>
      <c r="P67" s="354"/>
      <c r="Q67" s="465" t="s">
        <v>333</v>
      </c>
      <c r="R67" s="234"/>
      <c r="S67" s="234">
        <f>IF(Stamoplysninger!B22="Ulempetillæg afspadseres med 25%(Kræver en aftale imellem ledelsen og den ansatte)",Q66,0)</f>
        <v>0</v>
      </c>
      <c r="T67" s="234">
        <f>IF(Stamoplysninger!B22="Ulempetillæg afspadseres med 25%(Kræver en aftale imellem ledelsen og den ansatte)",(R41+X41)*0.25,0)</f>
        <v>0</v>
      </c>
      <c r="U67" s="234"/>
      <c r="V67" s="234"/>
      <c r="W67" s="122"/>
      <c r="X67" s="122"/>
      <c r="Y67" s="243"/>
      <c r="Z67" s="243"/>
      <c r="AA67" s="243"/>
      <c r="AB67" s="243"/>
      <c r="AC67" s="243"/>
      <c r="AD67" s="218"/>
      <c r="AE67" s="252"/>
      <c r="AF67" s="252"/>
      <c r="AG67" s="252"/>
      <c r="AH67" s="252"/>
      <c r="AI67" s="243"/>
      <c r="AK67" s="243"/>
      <c r="AL67" s="243"/>
      <c r="AP67" s="94"/>
      <c r="AQ67" s="94"/>
      <c r="BX67" s="1"/>
      <c r="CU67" s="1"/>
      <c r="CY67"/>
      <c r="CZ67"/>
      <c r="DF67" s="253"/>
      <c r="DG67" s="253"/>
    </row>
    <row r="68" spans="1:111" hidden="1">
      <c r="A68" s="558" t="s">
        <v>113</v>
      </c>
      <c r="B68" s="558"/>
      <c r="C68" s="558"/>
      <c r="D68" s="558">
        <f>COUNTIF([0]!AUGUST,"Fagdag")+COUNTIF([0]!AUGUST,"emnedag")</f>
        <v>0</v>
      </c>
      <c r="E68" s="559"/>
      <c r="F68" s="558" t="s">
        <v>192</v>
      </c>
      <c r="G68" s="558">
        <f>COUNTIFS($B$10:$B$40,"fr",[0]!AUGUST,"Skema 1")</f>
        <v>2</v>
      </c>
      <c r="H68" s="547"/>
      <c r="I68" s="554" t="s">
        <v>483</v>
      </c>
      <c r="J68" s="550"/>
      <c r="K68" s="552"/>
      <c r="L68" s="554"/>
      <c r="M68" s="513">
        <f>IF(Stamoplysninger!$B$26="Weekendtimer og weekendtillæg afspadseres.",O66,0)</f>
        <v>0</v>
      </c>
      <c r="N68" s="513">
        <f>IF(Stamoplysninger!$B$26="Weekendtimer og weekendtillæg afspadseres.",O66,0)</f>
        <v>0</v>
      </c>
      <c r="O68" s="463"/>
      <c r="P68" s="354"/>
      <c r="Q68" s="465" t="s">
        <v>330</v>
      </c>
      <c r="R68" s="234"/>
      <c r="S68" s="234">
        <f>IF(Stamoplysninger!B22="Ulempetillæg udbetales med 25% af nettotimelønnen.",Q66,0)</f>
        <v>0</v>
      </c>
      <c r="T68" s="234">
        <f>IF(Stamoplysninger!B22="Ulempetillæg udbetales med 25% af nettotimelønnen.",(R41+X41)*0.25,0)</f>
        <v>0</v>
      </c>
      <c r="U68" s="234"/>
      <c r="V68" s="234"/>
      <c r="W68" s="122"/>
      <c r="X68" s="122"/>
      <c r="Y68"/>
      <c r="Z68"/>
      <c r="AO68" s="1"/>
      <c r="BL68" s="1"/>
      <c r="BW68" s="253"/>
      <c r="BX68" s="253"/>
      <c r="CY68"/>
      <c r="CZ68"/>
    </row>
    <row r="69" spans="1:111" hidden="1">
      <c r="A69" s="560" t="s">
        <v>112</v>
      </c>
      <c r="B69" s="558"/>
      <c r="C69" s="558"/>
      <c r="D69" s="558">
        <f>COUNTIF([0]!AUGUST,"Lejrskole")+COUNTIF([0]!AUGUST,"Ekskursion")</f>
        <v>0</v>
      </c>
      <c r="E69" s="559"/>
      <c r="F69" s="558"/>
      <c r="G69" s="558"/>
      <c r="H69" s="547"/>
      <c r="I69" s="554" t="s">
        <v>484</v>
      </c>
      <c r="J69" s="554"/>
      <c r="K69" s="554"/>
      <c r="L69" s="554"/>
      <c r="M69" s="514">
        <f>IF(Stamoplysninger!$B$26="Weekendtimer og weekendtillæg udbetales.",M64,0)</f>
        <v>0</v>
      </c>
      <c r="N69" s="514">
        <f>IF(Stamoplysninger!$B$26="Weekendtimer og weekendtillæg udbetales.",N64,0)</f>
        <v>0</v>
      </c>
      <c r="O69" s="463"/>
      <c r="P69" s="354"/>
      <c r="Q69" s="465"/>
      <c r="R69" s="234"/>
      <c r="S69" s="234"/>
      <c r="T69" s="234"/>
      <c r="U69" s="234"/>
      <c r="V69" s="234"/>
      <c r="W69" s="122"/>
      <c r="X69" s="122"/>
      <c r="Y69"/>
      <c r="Z69"/>
      <c r="AO69" s="1"/>
      <c r="BL69" s="1"/>
      <c r="BW69" s="253"/>
      <c r="BX69" s="253"/>
      <c r="CY69"/>
      <c r="CZ69"/>
    </row>
    <row r="70" spans="1:111" hidden="1">
      <c r="A70" s="558" t="s">
        <v>111</v>
      </c>
      <c r="B70" s="558"/>
      <c r="C70" s="558"/>
      <c r="D70" s="558">
        <f>COUNTIF([0]!AUGUST,"Pæd.dag")</f>
        <v>0</v>
      </c>
      <c r="E70" s="559"/>
      <c r="F70" s="558" t="s">
        <v>194</v>
      </c>
      <c r="G70" s="558">
        <f>COUNTIFS($B$10:$B$40,"ma",[0]!AUGUST,"Skema 2")</f>
        <v>0</v>
      </c>
      <c r="H70" s="547"/>
      <c r="I70" s="554" t="s">
        <v>485</v>
      </c>
      <c r="J70" s="554"/>
      <c r="K70" s="554"/>
      <c r="L70" s="554"/>
      <c r="M70" s="514">
        <f>IF(Stamoplysninger!$B$26="Weekendtimer og weekendtillæg udbetales.",O66,0)</f>
        <v>0</v>
      </c>
      <c r="N70" s="514">
        <f>IF(Stamoplysninger!$B$26="Weekendtimer og weekendtillæg udbetales.",O66,0)</f>
        <v>0</v>
      </c>
      <c r="O70" s="463"/>
      <c r="P70" s="354"/>
      <c r="Q70" s="465"/>
      <c r="R70" s="234"/>
      <c r="S70" s="234"/>
      <c r="T70" s="234"/>
      <c r="U70" s="234"/>
      <c r="V70" s="234"/>
      <c r="W70" s="122"/>
      <c r="X70" s="122"/>
      <c r="Y70"/>
      <c r="Z70"/>
      <c r="AO70" s="1"/>
      <c r="BL70" s="1"/>
      <c r="BW70" s="253"/>
      <c r="BX70" s="253"/>
      <c r="CY70"/>
      <c r="CZ70"/>
    </row>
    <row r="71" spans="1:111" hidden="1">
      <c r="A71" s="558" t="s">
        <v>121</v>
      </c>
      <c r="B71" s="558"/>
      <c r="C71" s="558"/>
      <c r="D71" s="558">
        <f>COUNTIF([0]!AUGUST,"Weekend")</f>
        <v>8</v>
      </c>
      <c r="E71" s="559"/>
      <c r="F71" s="558" t="s">
        <v>195</v>
      </c>
      <c r="G71" s="558">
        <f>COUNTIFS($B$10:$B$40,"ti",[0]!AUGUST,"Skema 2")</f>
        <v>0</v>
      </c>
      <c r="H71" s="547"/>
      <c r="I71" s="554" t="s">
        <v>334</v>
      </c>
      <c r="J71" s="554"/>
      <c r="K71" s="554"/>
      <c r="L71" s="554"/>
      <c r="M71" s="515">
        <f>IF(Stamoplysninger!$B$26="Der er indgået lokalaftale omkring weekendtimer.(Kræver aftale med TR/FSL) Weekendtillæg afspadseres.",O66,0)</f>
        <v>0</v>
      </c>
      <c r="N71" s="515">
        <f>IF(Stamoplysninger!$B$26="Der er indgået lokalaftale omkring weekendtimer.(Kræver aftale med TR/FSL) Weekendtillæg afspadseres.",N64,0)</f>
        <v>0</v>
      </c>
      <c r="O71" s="463"/>
      <c r="P71" s="354"/>
      <c r="Q71" s="465"/>
      <c r="R71" s="234"/>
      <c r="S71" s="234"/>
      <c r="T71" s="234"/>
      <c r="U71" s="234"/>
      <c r="V71" s="234"/>
      <c r="W71" s="122"/>
      <c r="X71" s="122"/>
      <c r="Y71"/>
      <c r="Z71"/>
      <c r="AO71" s="1"/>
      <c r="BL71" s="1"/>
      <c r="BW71" s="253"/>
      <c r="BX71" s="253"/>
      <c r="CY71"/>
      <c r="CZ71"/>
    </row>
    <row r="72" spans="1:111" hidden="1">
      <c r="A72" s="558" t="s">
        <v>128</v>
      </c>
      <c r="B72" s="558"/>
      <c r="C72" s="558"/>
      <c r="D72" s="558">
        <f>COUNTIF([0]!AUGUST,"SH-dag")</f>
        <v>0</v>
      </c>
      <c r="E72" s="559"/>
      <c r="F72" s="558" t="s">
        <v>196</v>
      </c>
      <c r="G72" s="558">
        <f>COUNTIFS($B$10:$B$40,"on",[0]!AUGUST,"Skema 2")</f>
        <v>0</v>
      </c>
      <c r="H72" s="547"/>
      <c r="I72" s="554" t="s">
        <v>335</v>
      </c>
      <c r="J72" s="554"/>
      <c r="K72" s="554"/>
      <c r="L72" s="554"/>
      <c r="M72" s="515">
        <f>IF(Stamoplysninger!$B$26="Der er indgået lokalaftale omkring weekendtimer(Kræver aftale med TR/FSL). Weekendtillæg udbetales.",O66,0)</f>
        <v>0</v>
      </c>
      <c r="N72" s="515">
        <f>IF(Stamoplysninger!$B$26="Der er indgået lokalaftale omkring weekendtimer(Kræver aftale med TR/FSL). Weekendtillæg udbetales.",N64,0)</f>
        <v>0</v>
      </c>
      <c r="O72" s="463"/>
      <c r="P72" s="354"/>
      <c r="Q72" s="465"/>
      <c r="R72" s="234"/>
      <c r="S72" s="234"/>
      <c r="T72" s="234"/>
      <c r="U72" s="234"/>
      <c r="V72" s="234"/>
      <c r="W72" s="122"/>
      <c r="X72" s="122"/>
      <c r="Y72"/>
      <c r="Z72"/>
      <c r="AO72" s="1"/>
      <c r="BL72" s="1"/>
      <c r="BW72" s="253"/>
      <c r="BX72" s="253"/>
      <c r="CY72"/>
      <c r="CZ72"/>
    </row>
    <row r="73" spans="1:111" hidden="1">
      <c r="A73" s="558" t="s">
        <v>110</v>
      </c>
      <c r="B73" s="558"/>
      <c r="C73" s="558"/>
      <c r="D73" s="558">
        <f>COUNTIF([0]!AUGUST,"Feriedag")</f>
        <v>2</v>
      </c>
      <c r="E73" s="559"/>
      <c r="F73" s="558" t="s">
        <v>197</v>
      </c>
      <c r="G73" s="558">
        <f>COUNTIFS($B$10:$B$40,"to",[0]!AUGUST,"Skema 2")</f>
        <v>0</v>
      </c>
      <c r="H73" s="547"/>
      <c r="I73" s="554" t="s">
        <v>487</v>
      </c>
      <c r="J73" s="554"/>
      <c r="K73" s="554"/>
      <c r="L73" s="554"/>
      <c r="M73" s="515">
        <f>IF(Stamoplysninger!$B$26="Der er indgået lokalaftale omkring weekendtimer.(Kræver aftale med TR/FSL) Weekendtillæg afspadseres.",M64,0)</f>
        <v>0</v>
      </c>
      <c r="N73" s="515">
        <f>IF(Stamoplysninger!$B$26="Der er indgået lokalaftale omkring weekendtimer.(Kræver aftale med TR/FSL) Weekendtillæg afspadseres.",O66,0)</f>
        <v>0</v>
      </c>
      <c r="O73" s="44"/>
      <c r="P73" s="44"/>
      <c r="Q73" s="44"/>
      <c r="R73" s="44"/>
      <c r="S73" s="44"/>
      <c r="T73" s="44"/>
      <c r="Y73"/>
      <c r="Z73"/>
      <c r="AO73" s="1"/>
      <c r="BL73" s="1"/>
      <c r="BW73" s="253"/>
      <c r="BX73" s="253"/>
      <c r="CY73"/>
      <c r="CZ73"/>
    </row>
    <row r="74" spans="1:111" hidden="1">
      <c r="A74" s="558" t="s">
        <v>181</v>
      </c>
      <c r="B74" s="558"/>
      <c r="C74" s="558"/>
      <c r="D74" s="558">
        <f>COUNTIF([0]!AUGUST,"Nul-dag")</f>
        <v>7</v>
      </c>
      <c r="E74" s="559"/>
      <c r="F74" s="558" t="s">
        <v>198</v>
      </c>
      <c r="G74" s="558">
        <f>COUNTIFS($B$10:$B$40,"fr",[0]!AUGUST,"Skema 2")</f>
        <v>0</v>
      </c>
      <c r="H74" s="547"/>
      <c r="I74" s="554" t="s">
        <v>488</v>
      </c>
      <c r="J74" s="554"/>
      <c r="K74" s="554"/>
      <c r="L74" s="554"/>
      <c r="M74" s="515">
        <f>IF(Stamoplysninger!$B$26="Der er indgået lokalaftale omkring weekendtimer(Kræver aftale med TR/FSL). Weekendtillæg udbetales.",M64,0)</f>
        <v>0</v>
      </c>
      <c r="N74" s="515">
        <f>IF(Stamoplysninger!$B$26="Der er indgået lokalaftale omkring weekendtimer(Kræver aftale med TR/FSL). Weekendtillæg udbetales.",O66,0)</f>
        <v>0</v>
      </c>
      <c r="Y74"/>
      <c r="Z74"/>
      <c r="AO74" s="1"/>
      <c r="BL74" s="1"/>
      <c r="BW74" s="253"/>
      <c r="BX74" s="253"/>
      <c r="CY74"/>
      <c r="CZ74"/>
    </row>
    <row r="75" spans="1:111" hidden="1">
      <c r="A75" s="558" t="s">
        <v>161</v>
      </c>
      <c r="B75" s="558"/>
      <c r="C75" s="558"/>
      <c r="D75" s="558">
        <f>COUNTIF([0]!AUGUST,"Ikke relevant")</f>
        <v>0</v>
      </c>
      <c r="E75" s="559"/>
      <c r="F75" s="561"/>
      <c r="G75" s="561"/>
      <c r="H75" s="556"/>
      <c r="I75" s="554" t="s">
        <v>336</v>
      </c>
      <c r="J75" s="554"/>
      <c r="K75" s="554"/>
      <c r="L75" s="554"/>
      <c r="M75" s="517">
        <f>IF(Stamoplysninger!$B$26="Der er indgået lokalaftale omkring weekendtillæg(Kræver aftale med TR/FSL). Weekendtimerne afspadseres.",M64,0)</f>
        <v>0</v>
      </c>
      <c r="N75" s="517">
        <f>IF(Stamoplysninger!$B$26="Der er indgået lokalaftale omkring weekendtillæg(Kræver aftale med TR/FSL). Weekendtimerne afspadseres.",N64,0)</f>
        <v>0</v>
      </c>
      <c r="Y75"/>
      <c r="Z75"/>
      <c r="AO75" s="1"/>
      <c r="BL75" s="1"/>
      <c r="BW75" s="253"/>
      <c r="BX75" s="253"/>
      <c r="CY75"/>
      <c r="CZ75"/>
    </row>
    <row r="76" spans="1:111" hidden="1">
      <c r="A76" s="555" t="s">
        <v>444</v>
      </c>
      <c r="B76" s="558"/>
      <c r="C76" s="558"/>
      <c r="D76" s="558">
        <f>COUNTIF([0]!AUGUST,"Orlov")</f>
        <v>0</v>
      </c>
      <c r="E76" s="559"/>
      <c r="F76" s="558" t="s">
        <v>199</v>
      </c>
      <c r="G76" s="558">
        <f>COUNTIFS($B$10:$B$40,"ma",[0]!AUGUST,"Skema 3")</f>
        <v>0</v>
      </c>
      <c r="H76" s="547">
        <v>1</v>
      </c>
      <c r="I76" s="554" t="s">
        <v>337</v>
      </c>
      <c r="J76" s="554"/>
      <c r="K76" s="554"/>
      <c r="L76" s="552"/>
      <c r="M76" s="517">
        <f>IF(Stamoplysninger!$B$26="Der er indgået lokalaftale omkring weekendtillæg(Kræver aftale med TR/FSL). Weekendtimerne udbetales.",M64,0)</f>
        <v>0</v>
      </c>
      <c r="N76" s="517">
        <f>IF(Stamoplysninger!$B$26="Der er indgået lokalaftale omkring weekendtillæg(Kræver aftale med TR/FSL). Weekendtimerne udbetales.",N64,0)</f>
        <v>0</v>
      </c>
      <c r="Y76"/>
      <c r="Z76"/>
      <c r="AO76" s="1"/>
      <c r="BL76" s="1"/>
      <c r="BW76" s="253"/>
      <c r="BX76" s="253"/>
      <c r="CY76"/>
      <c r="CZ76"/>
    </row>
    <row r="77" spans="1:111" hidden="1">
      <c r="A77" s="558" t="s">
        <v>109</v>
      </c>
      <c r="B77" s="558"/>
      <c r="C77" s="558"/>
      <c r="D77" s="558">
        <f>SUM(D64:D76)</f>
        <v>31</v>
      </c>
      <c r="E77" s="558"/>
      <c r="F77" s="558" t="s">
        <v>200</v>
      </c>
      <c r="G77" s="558">
        <f>COUNTIFS($B$10:$B$40,"ti",[0]!AUGUST,"Skema 3")</f>
        <v>0</v>
      </c>
      <c r="H77" s="547">
        <v>2</v>
      </c>
      <c r="I77" s="554" t="s">
        <v>489</v>
      </c>
      <c r="J77" s="554"/>
      <c r="K77" s="554"/>
      <c r="L77" s="552"/>
      <c r="M77" s="517">
        <f>IF(Stamoplysninger!$B$26="Der er indgået lokalaftale omkring weekendtillæg(Kræver aftale med TR/FSL). Weekendtimerne afspadseres.",M64,0)</f>
        <v>0</v>
      </c>
      <c r="N77" s="517">
        <f>IF(Stamoplysninger!$B$26="Der er indgået lokalaftale omkring weekendtillæg(Kræver aftale med TR/FSL). Weekendtimerne afspadseres.",N64,0)</f>
        <v>0</v>
      </c>
      <c r="Y77"/>
      <c r="Z77"/>
      <c r="AO77" s="1"/>
      <c r="BL77" s="1"/>
      <c r="BW77" s="253"/>
      <c r="BX77" s="253"/>
      <c r="CY77"/>
      <c r="CZ77"/>
    </row>
    <row r="78" spans="1:111" hidden="1">
      <c r="A78" s="558" t="s">
        <v>242</v>
      </c>
      <c r="B78" s="558"/>
      <c r="C78" s="558"/>
      <c r="D78" s="558">
        <f>D77-D71-A87-D75</f>
        <v>23</v>
      </c>
      <c r="E78" s="562"/>
      <c r="F78" s="558" t="s">
        <v>201</v>
      </c>
      <c r="G78" s="558">
        <f>COUNTIFS($B$10:$B$40,"on",[0]!AUGUST,"Skema 3")</f>
        <v>0</v>
      </c>
      <c r="H78" s="547"/>
      <c r="I78" s="554" t="s">
        <v>490</v>
      </c>
      <c r="J78" s="554"/>
      <c r="K78" s="554"/>
      <c r="L78" s="552"/>
      <c r="M78" s="517">
        <f>IF(Stamoplysninger!$B$26="Der er indgået lokalaftale omkring weekendtillæg(Kræver aftale med TR/FSL). Weekendtimerne udbetales.",M64,0)</f>
        <v>0</v>
      </c>
      <c r="N78" s="517">
        <f>IF(Stamoplysninger!$B$26="Der er indgået lokalaftale omkring weekendtillæg(Kræver aftale med TR/FSL). Weekendtimerne udbetales.",N64,0)</f>
        <v>0</v>
      </c>
      <c r="Y78"/>
      <c r="Z78"/>
      <c r="AO78" s="1"/>
      <c r="BL78" s="1"/>
      <c r="BW78" s="253"/>
      <c r="BX78" s="253"/>
      <c r="CY78"/>
      <c r="CZ78"/>
    </row>
    <row r="79" spans="1:111" hidden="1">
      <c r="A79" s="558"/>
      <c r="B79" s="558"/>
      <c r="C79" s="558"/>
      <c r="D79" s="558"/>
      <c r="E79" s="558"/>
      <c r="F79" s="558" t="s">
        <v>202</v>
      </c>
      <c r="G79" s="558">
        <f>COUNTIFS($B$10:$B$40,"to",[0]!AUGUST,"Skema 3")</f>
        <v>0</v>
      </c>
      <c r="H79" s="547"/>
      <c r="I79" s="547" t="s">
        <v>486</v>
      </c>
      <c r="J79" s="554"/>
      <c r="K79" s="554"/>
      <c r="L79" s="552"/>
      <c r="M79" s="463">
        <f>IF(Stamoplysninger!$B$26="Der er indgået lokalaftale omkring weekendtimer og weekendtillæg.(Kræver aftale med TR/FSL).",M64,0)</f>
        <v>0</v>
      </c>
      <c r="N79" s="463"/>
      <c r="Y79"/>
      <c r="Z79"/>
      <c r="AO79" s="1"/>
      <c r="BL79" s="1"/>
      <c r="BW79" s="253"/>
      <c r="BX79" s="253"/>
      <c r="CY79"/>
      <c r="CZ79"/>
    </row>
    <row r="80" spans="1:111" hidden="1">
      <c r="A80" s="558"/>
      <c r="B80" s="558"/>
      <c r="C80" s="558"/>
      <c r="D80" s="558"/>
      <c r="E80" s="558"/>
      <c r="F80" s="558" t="s">
        <v>203</v>
      </c>
      <c r="G80" s="558">
        <f>COUNTIFS($B$10:$B$40,"fr",[0]!AUGUST,"Skema 3")</f>
        <v>0</v>
      </c>
      <c r="H80" s="547">
        <v>1</v>
      </c>
      <c r="I80" s="547"/>
      <c r="J80" s="552"/>
      <c r="K80" s="552"/>
      <c r="L80" s="552"/>
      <c r="Y80"/>
      <c r="Z80"/>
      <c r="AO80" s="1"/>
      <c r="BL80" s="1"/>
      <c r="BW80" s="253"/>
      <c r="BX80" s="253"/>
      <c r="CY80"/>
      <c r="CZ80"/>
    </row>
    <row r="81" spans="1:111" hidden="1">
      <c r="A81" s="558" t="s">
        <v>298</v>
      </c>
      <c r="B81" s="558"/>
      <c r="C81" s="558"/>
      <c r="D81" s="558"/>
      <c r="E81" s="558"/>
      <c r="F81" s="558"/>
      <c r="G81" s="558"/>
      <c r="H81" s="547">
        <v>2</v>
      </c>
      <c r="I81" s="547"/>
      <c r="J81" s="552"/>
      <c r="K81" s="552"/>
      <c r="L81" s="552"/>
      <c r="Y81"/>
      <c r="Z81"/>
      <c r="AO81" s="1"/>
      <c r="BL81" s="1"/>
      <c r="BW81" s="253"/>
      <c r="BX81" s="253"/>
      <c r="CY81"/>
      <c r="CZ81"/>
    </row>
    <row r="82" spans="1:111" hidden="1">
      <c r="A82" s="558">
        <f>COUNTIF($C$14:$C$15,"Skema 1")+COUNTIF($C$14:$C$15,"Skema 2")+COUNTIF($C$14:$C$15,"Skema 3")+COUNTIF($C$14:$C$15,"Skema 4")+COUNTIF($C$14:$C$15,"Fagdag")+COUNTIF($C$14:$C$15,"Emnedag")+COUNTIF($C$14:$C$15,"Lejrskole")+COUNTIF($C$14:$C$15,"Ekskursion")+COUNTIF($C$14:$C$15,"Pæd.dag")</f>
        <v>0</v>
      </c>
      <c r="B82" s="558"/>
      <c r="C82" s="558"/>
      <c r="D82" s="558"/>
      <c r="E82" s="558"/>
      <c r="F82" s="558" t="s">
        <v>204</v>
      </c>
      <c r="G82" s="558">
        <f>COUNTIFS($B$10:$B$40,"ma",[0]!AUGUST,"Skema 4")</f>
        <v>0</v>
      </c>
      <c r="H82" s="547"/>
      <c r="I82" s="547"/>
      <c r="J82" s="552"/>
      <c r="K82" s="552"/>
      <c r="L82" s="552"/>
      <c r="Y82"/>
      <c r="Z82"/>
      <c r="AO82" s="1">
        <f>SUM(N82:AN82)</f>
        <v>0</v>
      </c>
      <c r="BL82" s="1">
        <f>SUM(AI82:BK82)</f>
        <v>0</v>
      </c>
      <c r="BW82" s="253"/>
      <c r="BX82" s="253"/>
      <c r="CY82"/>
      <c r="CZ82"/>
    </row>
    <row r="83" spans="1:111" hidden="1">
      <c r="A83" s="558">
        <f>COUNTIF($C$21:$C$22,"Skema 1")+COUNTIF($C$21:$C$22,"Skema 2")+COUNTIF($C$21:$C$22,"Skema 3")+COUNTIF($C$21:$C$22,"Skema 4")+COUNTIF($C$21:$C$22,"Fagdag")+COUNTIF($C$21:$C$22,"Emnedag")+COUNTIF($C$21:$C$22,"Lejrskole")+COUNTIF($C$21:$C$22,"Ekskursion")+COUNTIF($C$21:$C$22,"Pæd.dag")</f>
        <v>0</v>
      </c>
      <c r="B83" s="558"/>
      <c r="C83" s="558"/>
      <c r="D83" s="558"/>
      <c r="E83" s="558"/>
      <c r="F83" s="558" t="s">
        <v>205</v>
      </c>
      <c r="G83" s="558">
        <f>COUNTIFS($B$10:$B$40,"ti",[0]!AUGUST,"Skema 4")</f>
        <v>0</v>
      </c>
      <c r="H83" s="547"/>
      <c r="I83" s="547"/>
      <c r="J83" s="552"/>
      <c r="K83" s="552"/>
      <c r="L83" s="552"/>
      <c r="Y83"/>
      <c r="Z83"/>
      <c r="AO83" s="1">
        <f>SUM(N83:AN83)</f>
        <v>0</v>
      </c>
      <c r="BL83" s="1">
        <f>SUM(AI83:BK83)</f>
        <v>0</v>
      </c>
      <c r="BW83" s="253"/>
      <c r="BX83" s="253"/>
      <c r="CY83"/>
      <c r="CZ83"/>
    </row>
    <row r="84" spans="1:111" hidden="1">
      <c r="A84" s="558">
        <f>COUNTIF($C$28:$C$29,"Skema 1")+COUNTIF($C$28:$C$29,"Skema 2")+COUNTIF($C$28:$C$29,"Skema 3")+COUNTIF($C$28:$C$29,"Skema 4")+COUNTIF($C$28:$C$29,"Fagdag")+COUNTIF($C$28:$C$29,"Emnedag")+COUNTIF($C$28:$C$29,"Lejrskole")+COUNTIF($C$28:$C$29,"Ekskursion")+COUNTIF($C$28:$C$29,"Pæd.dag")</f>
        <v>0</v>
      </c>
      <c r="B84" s="558"/>
      <c r="C84" s="558"/>
      <c r="D84" s="558"/>
      <c r="E84" s="558"/>
      <c r="F84" s="558" t="s">
        <v>206</v>
      </c>
      <c r="G84" s="558">
        <f>COUNTIFS($B$10:$B$40,"on",[0]!AUGUST,"Skema 4")</f>
        <v>0</v>
      </c>
      <c r="H84" s="547"/>
      <c r="I84" s="547"/>
      <c r="J84" s="552"/>
      <c r="K84" s="552"/>
      <c r="L84" s="552"/>
      <c r="Y84"/>
      <c r="Z84"/>
      <c r="AO84" s="1">
        <f>SUM(N84:AN84)</f>
        <v>0</v>
      </c>
      <c r="BL84" s="1">
        <f>SUM(AI84:BK84)</f>
        <v>0</v>
      </c>
      <c r="BW84" s="253"/>
      <c r="BX84" s="253"/>
      <c r="CY84"/>
      <c r="CZ84"/>
    </row>
    <row r="85" spans="1:111" hidden="1">
      <c r="A85" s="558">
        <f>COUNTIF($C$35:$C$36,"Skema 1")+COUNTIF($C$35:$C$36,"Skema 2")+COUNTIF($C$35:$C$36,"Skema 3")+COUNTIF($C$35:$C$36,"Skema 4")+COUNTIF($C$35:$C$36,"Fagdag")+COUNTIF($C$35:$C$36,"Emnedag")+COUNTIF($C$35:$C$36,"Lejrskole")+COUNTIF($C$35:$C$36,"Ekskursion")+COUNTIF($C$35:$C$36,"Pæd.dag")</f>
        <v>0</v>
      </c>
      <c r="B85" s="558"/>
      <c r="C85" s="558"/>
      <c r="D85" s="558"/>
      <c r="E85" s="558"/>
      <c r="F85" s="558" t="s">
        <v>207</v>
      </c>
      <c r="G85" s="558">
        <f>COUNTIFS($B$10:$B$40,"to",[0]!AUGUST,"Skema 4")</f>
        <v>0</v>
      </c>
      <c r="H85" s="547"/>
      <c r="I85" s="547"/>
      <c r="J85" s="552"/>
      <c r="K85" s="552"/>
      <c r="L85" s="552"/>
      <c r="Y85"/>
      <c r="Z85"/>
      <c r="AO85" s="1">
        <f>SUM(N85:AN85)</f>
        <v>0</v>
      </c>
      <c r="BL85" s="1">
        <f>SUM(AI85:BK85)</f>
        <v>0</v>
      </c>
      <c r="BW85" s="253"/>
      <c r="BX85" s="253"/>
      <c r="CY85"/>
      <c r="CZ85"/>
    </row>
    <row r="86" spans="1:111" hidden="1">
      <c r="A86" s="558"/>
      <c r="B86" s="558"/>
      <c r="C86" s="558"/>
      <c r="D86" s="558"/>
      <c r="E86" s="558"/>
      <c r="F86" s="558" t="s">
        <v>208</v>
      </c>
      <c r="G86" s="558">
        <f>COUNTIFS($B$10:$B$40,"fr",[0]!AUGUST,"Skema 4")</f>
        <v>0</v>
      </c>
      <c r="H86" s="547"/>
      <c r="I86" s="547"/>
      <c r="J86" s="552"/>
      <c r="K86" s="552"/>
      <c r="L86" s="44"/>
      <c r="Y86"/>
      <c r="Z86"/>
      <c r="BW86" s="253"/>
      <c r="BX86" s="253"/>
      <c r="CY86"/>
      <c r="CZ86"/>
    </row>
    <row r="87" spans="1:111" hidden="1">
      <c r="A87" s="558">
        <f>SUM(A82:A86)</f>
        <v>0</v>
      </c>
      <c r="B87" s="558"/>
      <c r="C87" s="558"/>
      <c r="D87" s="558"/>
      <c r="E87" s="558"/>
      <c r="F87" s="558"/>
      <c r="G87" s="558">
        <f>SUM(G64:G86)</f>
        <v>14</v>
      </c>
      <c r="H87" s="552"/>
      <c r="I87" s="547"/>
      <c r="J87" s="552"/>
      <c r="K87" s="552"/>
      <c r="L87" s="44"/>
      <c r="Y87"/>
      <c r="Z87"/>
      <c r="BW87" s="253"/>
      <c r="BX87" s="253"/>
      <c r="CY87"/>
      <c r="CZ87"/>
    </row>
    <row r="88" spans="1:111" hidden="1">
      <c r="A88" s="563"/>
      <c r="B88" s="563"/>
      <c r="C88" s="563"/>
      <c r="D88" s="563"/>
      <c r="E88" s="558"/>
      <c r="F88" s="558"/>
      <c r="G88" s="558"/>
      <c r="H88" s="552"/>
      <c r="I88" s="552"/>
      <c r="J88" s="552"/>
      <c r="K88" s="552"/>
      <c r="L88" s="44"/>
      <c r="Y88"/>
      <c r="Z88"/>
      <c r="BW88" s="253"/>
      <c r="BX88" s="253"/>
      <c r="CY88"/>
      <c r="CZ88"/>
    </row>
    <row r="89" spans="1:111" hidden="1">
      <c r="A89" s="564" t="s">
        <v>209</v>
      </c>
      <c r="B89" s="563"/>
      <c r="C89" s="563"/>
      <c r="D89" s="563"/>
      <c r="E89" s="558"/>
      <c r="F89" s="558"/>
      <c r="G89" s="558"/>
      <c r="H89" s="552"/>
      <c r="I89" s="44"/>
      <c r="J89" s="552"/>
      <c r="K89" s="552"/>
      <c r="L89" s="44"/>
      <c r="Y89"/>
      <c r="Z89"/>
      <c r="BW89" s="253"/>
      <c r="BX89" s="253"/>
      <c r="CY89"/>
      <c r="CZ89"/>
    </row>
    <row r="90" spans="1:111" hidden="1">
      <c r="A90" s="565" t="s">
        <v>210</v>
      </c>
      <c r="B90" s="563"/>
      <c r="C90" s="563"/>
      <c r="D90" s="563"/>
      <c r="E90" s="547"/>
      <c r="F90" s="547"/>
      <c r="G90" s="547"/>
      <c r="H90" s="552"/>
      <c r="I90" s="44"/>
      <c r="J90" s="44"/>
      <c r="K90" s="44"/>
      <c r="L90" s="44"/>
      <c r="Y90"/>
      <c r="Z90"/>
      <c r="BW90" s="253"/>
      <c r="BX90" s="253"/>
      <c r="CY90"/>
      <c r="CZ90"/>
    </row>
    <row r="91" spans="1:111" hidden="1">
      <c r="A91" s="566" t="s">
        <v>211</v>
      </c>
      <c r="B91" s="552"/>
      <c r="C91" s="552"/>
      <c r="D91" s="552"/>
      <c r="E91" s="547"/>
      <c r="F91" s="547"/>
      <c r="G91" s="547"/>
      <c r="H91" s="552"/>
      <c r="I91" s="44"/>
      <c r="J91" s="44"/>
      <c r="K91" s="44"/>
      <c r="L91" s="44"/>
      <c r="Y91"/>
      <c r="Z91"/>
      <c r="AD91" s="4"/>
      <c r="AE91" s="235"/>
      <c r="AF91" s="235"/>
      <c r="AG91" s="235"/>
      <c r="AH91" s="235"/>
      <c r="CY91"/>
      <c r="CZ91"/>
      <c r="DF91" s="253"/>
      <c r="DG91" s="253"/>
    </row>
    <row r="92" spans="1:111" hidden="1">
      <c r="A92" s="547" t="s">
        <v>212</v>
      </c>
      <c r="B92" s="552"/>
      <c r="C92" s="552"/>
      <c r="D92" s="552"/>
      <c r="E92" s="547"/>
      <c r="F92" s="547"/>
      <c r="G92" s="547"/>
      <c r="H92" s="552"/>
      <c r="I92" s="44"/>
      <c r="J92" s="44"/>
      <c r="K92" s="44"/>
      <c r="L92" s="44"/>
      <c r="Y92"/>
      <c r="Z92"/>
      <c r="AD92" s="4"/>
      <c r="AE92" s="235"/>
      <c r="AF92" s="235"/>
      <c r="AG92" s="235"/>
      <c r="AH92" s="235"/>
      <c r="CY92"/>
      <c r="CZ92"/>
      <c r="DF92" s="253"/>
      <c r="DG92" s="253"/>
    </row>
    <row r="93" spans="1:111" hidden="1">
      <c r="A93" s="127" t="s">
        <v>137</v>
      </c>
      <c r="B93" s="44"/>
      <c r="C93" s="44"/>
      <c r="D93" s="44"/>
      <c r="E93" s="127"/>
      <c r="F93" s="127"/>
      <c r="G93" s="127"/>
      <c r="H93" s="44"/>
      <c r="I93" s="44"/>
      <c r="J93" s="44"/>
      <c r="K93" s="44"/>
      <c r="L93" s="44"/>
    </row>
    <row r="94" spans="1:111" hidden="1">
      <c r="A94" s="127" t="s">
        <v>214</v>
      </c>
      <c r="B94" s="44"/>
      <c r="C94" s="44"/>
      <c r="D94" s="44"/>
      <c r="E94" s="127"/>
      <c r="F94" s="127"/>
      <c r="G94" s="127"/>
      <c r="H94" s="44"/>
      <c r="I94" s="44"/>
      <c r="J94" s="44"/>
      <c r="K94" s="44"/>
      <c r="L94" s="44"/>
    </row>
    <row r="95" spans="1:111" hidden="1">
      <c r="A95" s="127" t="s">
        <v>138</v>
      </c>
      <c r="B95" s="44"/>
      <c r="C95" s="44"/>
      <c r="D95" s="44"/>
      <c r="E95" s="127"/>
      <c r="F95" s="127"/>
      <c r="G95" s="127"/>
      <c r="H95" s="44"/>
      <c r="I95" s="44"/>
      <c r="J95" s="44"/>
      <c r="K95" s="44"/>
      <c r="L95" s="44"/>
    </row>
    <row r="96" spans="1:111" hidden="1">
      <c r="A96" s="522" t="s">
        <v>139</v>
      </c>
      <c r="B96" s="44"/>
      <c r="C96" s="44"/>
      <c r="D96" s="44"/>
      <c r="E96" s="127"/>
      <c r="F96" s="127"/>
      <c r="G96" s="127"/>
      <c r="H96" s="44"/>
      <c r="I96" s="44"/>
      <c r="J96" s="44"/>
      <c r="K96" s="44"/>
      <c r="L96" s="44"/>
    </row>
    <row r="97" spans="1:12" hidden="1">
      <c r="A97" s="523" t="s">
        <v>140</v>
      </c>
      <c r="B97" s="44"/>
      <c r="C97" s="44"/>
      <c r="D97" s="44"/>
      <c r="E97" s="127"/>
      <c r="F97" s="127"/>
      <c r="G97" s="127"/>
      <c r="H97" s="44"/>
      <c r="I97" s="44"/>
      <c r="J97" s="44"/>
      <c r="K97" s="44"/>
      <c r="L97" s="44"/>
    </row>
    <row r="98" spans="1:12" hidden="1">
      <c r="A98" s="524" t="s">
        <v>129</v>
      </c>
      <c r="B98" s="44"/>
      <c r="C98" s="44"/>
      <c r="D98" s="44"/>
      <c r="E98" s="44"/>
      <c r="F98" s="44"/>
      <c r="G98" s="44"/>
      <c r="H98" s="44"/>
      <c r="I98" s="44"/>
      <c r="J98" s="44"/>
      <c r="K98" s="44"/>
      <c r="L98" s="44"/>
    </row>
    <row r="99" spans="1:12" hidden="1">
      <c r="A99" s="525" t="s">
        <v>121</v>
      </c>
      <c r="B99" s="44"/>
      <c r="C99" s="44"/>
      <c r="D99" s="44"/>
      <c r="E99" s="44"/>
      <c r="F99" s="44"/>
      <c r="G99" s="44"/>
      <c r="H99" s="44"/>
      <c r="I99" s="44"/>
      <c r="J99" s="44"/>
      <c r="K99" s="44"/>
      <c r="L99" s="44"/>
    </row>
    <row r="100" spans="1:12" hidden="1">
      <c r="A100" s="526" t="s">
        <v>213</v>
      </c>
      <c r="B100" s="44"/>
      <c r="C100" s="44"/>
      <c r="D100" s="44"/>
      <c r="E100" s="44"/>
      <c r="F100" s="44"/>
      <c r="G100" s="44"/>
      <c r="H100" s="44"/>
      <c r="I100" s="44"/>
      <c r="J100" s="44"/>
      <c r="K100" s="44"/>
      <c r="L100" s="477"/>
    </row>
    <row r="101" spans="1:12" hidden="1">
      <c r="A101" s="527" t="s">
        <v>120</v>
      </c>
      <c r="B101" s="44"/>
      <c r="C101" s="44"/>
      <c r="D101" s="44"/>
      <c r="E101" s="44"/>
      <c r="F101" s="44"/>
      <c r="G101" s="44"/>
      <c r="H101" s="44"/>
      <c r="I101" s="44"/>
      <c r="J101" s="44"/>
      <c r="K101" s="44"/>
      <c r="L101" s="477"/>
    </row>
    <row r="102" spans="1:12" hidden="1">
      <c r="A102" s="527" t="s">
        <v>444</v>
      </c>
      <c r="B102" s="44"/>
      <c r="C102" s="44"/>
      <c r="D102" s="44"/>
      <c r="E102" s="44"/>
      <c r="F102" s="44"/>
      <c r="G102" s="44"/>
      <c r="H102" s="44"/>
      <c r="I102" s="44"/>
      <c r="J102" s="44"/>
      <c r="K102" s="44"/>
      <c r="L102" s="477"/>
    </row>
    <row r="103" spans="1:12" hidden="1">
      <c r="A103" s="181" t="s">
        <v>161</v>
      </c>
      <c r="B103" s="44"/>
      <c r="C103" s="44"/>
      <c r="D103" s="44"/>
      <c r="E103" s="44"/>
      <c r="F103" s="44"/>
      <c r="G103" s="44"/>
      <c r="H103" s="44"/>
      <c r="I103" s="477"/>
      <c r="J103" s="44"/>
      <c r="K103" s="44"/>
      <c r="L103" s="477"/>
    </row>
    <row r="104" spans="1:12">
      <c r="A104" s="44"/>
      <c r="B104" s="44"/>
      <c r="C104" s="44"/>
      <c r="D104" s="44"/>
      <c r="E104" s="44"/>
      <c r="F104" s="44"/>
      <c r="G104" s="44"/>
      <c r="H104" s="44"/>
      <c r="I104" s="477"/>
      <c r="J104" s="477"/>
      <c r="K104" s="477"/>
      <c r="L104" s="477"/>
    </row>
    <row r="105" spans="1:12">
      <c r="A105" s="44"/>
      <c r="B105" s="44"/>
      <c r="C105" s="44"/>
      <c r="D105" s="44"/>
      <c r="E105" s="44"/>
      <c r="F105" s="44"/>
      <c r="G105" s="44"/>
      <c r="H105" s="44"/>
      <c r="I105" s="477"/>
      <c r="J105" s="477"/>
      <c r="K105" s="477"/>
      <c r="L105" s="477"/>
    </row>
    <row r="106" spans="1:12">
      <c r="A106" s="44"/>
      <c r="B106" s="44"/>
      <c r="C106" s="44"/>
      <c r="D106" s="44"/>
      <c r="E106" s="44"/>
      <c r="F106" s="44"/>
      <c r="G106" s="44"/>
      <c r="H106" s="44"/>
      <c r="I106" s="477"/>
      <c r="J106" s="477"/>
      <c r="K106" s="477"/>
      <c r="L106" s="477"/>
    </row>
    <row r="107" spans="1:12">
      <c r="A107" s="477"/>
      <c r="B107" s="477"/>
      <c r="C107" s="477"/>
      <c r="D107" s="477"/>
      <c r="E107" s="477"/>
      <c r="F107" s="477"/>
      <c r="G107" s="477"/>
      <c r="H107" s="477"/>
      <c r="I107" s="477"/>
      <c r="J107" s="477"/>
      <c r="K107" s="477"/>
      <c r="L107" s="477"/>
    </row>
    <row r="108" spans="1:12">
      <c r="A108" s="477"/>
      <c r="B108" s="477"/>
      <c r="C108" s="477"/>
      <c r="D108" s="477"/>
      <c r="E108" s="477"/>
      <c r="F108" s="477"/>
      <c r="G108" s="477"/>
      <c r="H108" s="477"/>
      <c r="I108" s="477"/>
      <c r="J108" s="477"/>
      <c r="K108" s="477"/>
      <c r="L108" s="477"/>
    </row>
    <row r="109" spans="1:12">
      <c r="A109" s="477"/>
      <c r="B109" s="477"/>
      <c r="C109" s="477"/>
      <c r="D109" s="477"/>
      <c r="E109" s="477"/>
      <c r="F109" s="477"/>
      <c r="G109" s="477"/>
      <c r="H109" s="477"/>
      <c r="I109" s="477"/>
      <c r="J109" s="477"/>
      <c r="K109" s="477"/>
      <c r="L109" s="477"/>
    </row>
    <row r="110" spans="1:12">
      <c r="A110" s="477"/>
      <c r="B110" s="477"/>
      <c r="C110" s="477"/>
      <c r="D110" s="477"/>
      <c r="E110" s="477"/>
      <c r="F110" s="477"/>
      <c r="G110" s="477"/>
      <c r="H110" s="477"/>
      <c r="I110" s="477"/>
      <c r="J110" s="477"/>
      <c r="K110" s="477"/>
      <c r="L110" s="477"/>
    </row>
    <row r="111" spans="1:12">
      <c r="A111" s="477"/>
      <c r="B111" s="477"/>
      <c r="C111" s="477"/>
      <c r="D111" s="477"/>
      <c r="E111" s="477"/>
      <c r="F111" s="477"/>
      <c r="G111" s="477"/>
      <c r="H111" s="477"/>
      <c r="I111" s="477"/>
      <c r="J111" s="477"/>
      <c r="K111" s="477"/>
      <c r="L111" s="477"/>
    </row>
    <row r="112" spans="1:12">
      <c r="A112" s="477"/>
      <c r="B112" s="477"/>
      <c r="C112" s="477"/>
      <c r="D112" s="477"/>
      <c r="E112" s="477"/>
      <c r="F112" s="477"/>
      <c r="G112" s="477"/>
      <c r="H112" s="477"/>
      <c r="I112" s="477"/>
      <c r="J112" s="477"/>
      <c r="K112" s="477"/>
      <c r="L112" s="477"/>
    </row>
    <row r="113" spans="1:12">
      <c r="A113" s="477"/>
      <c r="B113" s="477"/>
      <c r="C113" s="477"/>
      <c r="D113" s="477"/>
      <c r="E113" s="477"/>
      <c r="F113" s="477"/>
      <c r="G113" s="477"/>
      <c r="H113" s="477"/>
      <c r="I113" s="477"/>
      <c r="J113" s="477"/>
      <c r="K113" s="477"/>
      <c r="L113" s="477"/>
    </row>
    <row r="114" spans="1:12">
      <c r="A114" s="477"/>
      <c r="B114" s="477"/>
      <c r="C114" s="477"/>
      <c r="D114" s="477"/>
      <c r="E114" s="477"/>
      <c r="F114" s="477"/>
      <c r="G114" s="477"/>
      <c r="H114" s="477"/>
      <c r="I114" s="477"/>
      <c r="J114" s="477"/>
      <c r="K114" s="477"/>
      <c r="L114" s="477"/>
    </row>
    <row r="115" spans="1:12">
      <c r="A115" s="477"/>
      <c r="B115" s="477"/>
      <c r="C115" s="477"/>
      <c r="D115" s="477"/>
      <c r="E115" s="477"/>
      <c r="F115" s="477"/>
      <c r="G115" s="477"/>
      <c r="H115" s="477"/>
      <c r="I115" s="477"/>
      <c r="J115" s="477"/>
      <c r="K115" s="477"/>
      <c r="L115" s="477"/>
    </row>
    <row r="116" spans="1:12">
      <c r="A116" s="477"/>
      <c r="B116" s="477"/>
      <c r="C116" s="477"/>
      <c r="D116" s="477"/>
      <c r="E116" s="477"/>
      <c r="F116" s="477"/>
      <c r="G116" s="477"/>
      <c r="H116" s="477"/>
      <c r="I116" s="477"/>
      <c r="J116" s="477"/>
      <c r="K116" s="477"/>
      <c r="L116" s="477"/>
    </row>
    <row r="117" spans="1:12">
      <c r="A117" s="477"/>
      <c r="B117" s="477"/>
      <c r="C117" s="477"/>
      <c r="D117" s="477"/>
      <c r="E117" s="477"/>
      <c r="F117" s="477"/>
      <c r="G117" s="477"/>
      <c r="H117" s="477"/>
      <c r="I117" s="477"/>
      <c r="J117" s="477"/>
      <c r="K117" s="477"/>
      <c r="L117" s="477"/>
    </row>
    <row r="118" spans="1:12">
      <c r="A118" s="477"/>
      <c r="B118" s="477"/>
      <c r="C118" s="477"/>
      <c r="D118" s="477"/>
      <c r="E118" s="477"/>
      <c r="F118" s="477"/>
      <c r="G118" s="477"/>
      <c r="H118" s="477"/>
      <c r="I118" s="477"/>
      <c r="J118" s="477"/>
      <c r="K118" s="477"/>
      <c r="L118" s="477"/>
    </row>
    <row r="119" spans="1:12">
      <c r="A119" s="477"/>
      <c r="B119" s="477"/>
      <c r="C119" s="477"/>
      <c r="D119" s="477"/>
      <c r="E119" s="477"/>
      <c r="F119" s="477"/>
      <c r="G119" s="477"/>
      <c r="H119" s="477"/>
      <c r="I119" s="477"/>
      <c r="J119" s="477"/>
      <c r="K119" s="477"/>
      <c r="L119" s="477"/>
    </row>
    <row r="120" spans="1:12">
      <c r="A120" s="477"/>
      <c r="B120" s="477"/>
      <c r="C120" s="477"/>
      <c r="D120" s="477"/>
      <c r="E120" s="477"/>
      <c r="F120" s="477"/>
      <c r="G120" s="477"/>
      <c r="H120" s="477"/>
      <c r="I120" s="477"/>
      <c r="J120" s="477"/>
      <c r="K120" s="477"/>
      <c r="L120" s="477"/>
    </row>
    <row r="121" spans="1:12">
      <c r="A121" s="477"/>
      <c r="B121" s="477"/>
      <c r="C121" s="477"/>
      <c r="D121" s="477"/>
      <c r="E121" s="477"/>
      <c r="F121" s="477"/>
      <c r="G121" s="477"/>
      <c r="H121" s="477"/>
      <c r="I121" s="477"/>
      <c r="J121" s="477"/>
      <c r="K121" s="477"/>
      <c r="L121" s="477"/>
    </row>
    <row r="122" spans="1:12">
      <c r="A122" s="477"/>
      <c r="B122" s="477"/>
      <c r="C122" s="477"/>
      <c r="D122" s="477"/>
      <c r="E122" s="477"/>
      <c r="F122" s="477"/>
      <c r="G122" s="477"/>
      <c r="H122" s="477"/>
      <c r="I122" s="477"/>
      <c r="J122" s="477"/>
      <c r="K122" s="477"/>
      <c r="L122" s="477"/>
    </row>
    <row r="123" spans="1:12">
      <c r="A123" s="477"/>
      <c r="B123" s="477"/>
      <c r="C123" s="477"/>
      <c r="D123" s="477"/>
      <c r="E123" s="477"/>
      <c r="F123" s="477"/>
      <c r="G123" s="477"/>
      <c r="H123" s="477"/>
      <c r="I123" s="477"/>
      <c r="J123" s="477"/>
      <c r="K123" s="477"/>
      <c r="L123" s="477"/>
    </row>
    <row r="124" spans="1:12">
      <c r="A124" s="477"/>
      <c r="B124" s="477"/>
      <c r="C124" s="477"/>
      <c r="D124" s="477"/>
      <c r="E124" s="477"/>
      <c r="F124" s="477"/>
      <c r="G124" s="477"/>
      <c r="H124" s="477"/>
      <c r="I124" s="477"/>
      <c r="J124" s="477"/>
      <c r="K124" s="477"/>
      <c r="L124" s="477"/>
    </row>
    <row r="125" spans="1:12">
      <c r="A125" s="477"/>
      <c r="B125" s="477"/>
      <c r="C125" s="477"/>
      <c r="D125" s="477"/>
      <c r="E125" s="477"/>
      <c r="F125" s="477"/>
      <c r="G125" s="477"/>
      <c r="H125" s="477"/>
      <c r="I125" s="477"/>
      <c r="J125" s="477"/>
      <c r="K125" s="477"/>
      <c r="L125" s="477"/>
    </row>
    <row r="126" spans="1:12">
      <c r="A126" s="477"/>
      <c r="B126" s="477"/>
      <c r="C126" s="477"/>
      <c r="D126" s="477"/>
      <c r="E126" s="477"/>
      <c r="F126" s="477"/>
      <c r="G126" s="477"/>
      <c r="H126" s="477"/>
      <c r="I126" s="477"/>
      <c r="J126" s="477"/>
      <c r="K126" s="477"/>
      <c r="L126" s="477"/>
    </row>
    <row r="127" spans="1:12">
      <c r="A127" s="477"/>
      <c r="B127" s="477"/>
      <c r="C127" s="477"/>
      <c r="D127" s="477"/>
      <c r="E127" s="477"/>
      <c r="F127" s="477"/>
      <c r="G127" s="477"/>
      <c r="H127" s="477"/>
      <c r="I127" s="477"/>
      <c r="J127" s="477"/>
      <c r="K127" s="477"/>
      <c r="L127" s="477"/>
    </row>
    <row r="128" spans="1:12">
      <c r="A128" s="477"/>
      <c r="B128" s="477"/>
      <c r="C128" s="477"/>
      <c r="D128" s="477"/>
      <c r="E128" s="477"/>
      <c r="F128" s="477"/>
      <c r="G128" s="477"/>
      <c r="H128" s="477"/>
      <c r="I128" s="477"/>
      <c r="J128" s="477"/>
      <c r="K128" s="477"/>
      <c r="L128" s="477"/>
    </row>
    <row r="129" spans="1:12">
      <c r="A129" s="477"/>
      <c r="B129" s="477"/>
      <c r="C129" s="477"/>
      <c r="D129" s="477"/>
      <c r="E129" s="477"/>
      <c r="F129" s="477"/>
      <c r="G129" s="477"/>
      <c r="H129" s="477"/>
      <c r="I129" s="477"/>
      <c r="J129" s="477"/>
      <c r="K129" s="477"/>
      <c r="L129" s="477"/>
    </row>
    <row r="130" spans="1:12">
      <c r="A130" s="477"/>
      <c r="B130" s="477"/>
      <c r="C130" s="477"/>
      <c r="D130" s="477"/>
      <c r="E130" s="477"/>
      <c r="F130" s="477"/>
      <c r="G130" s="477"/>
      <c r="H130" s="477"/>
      <c r="I130" s="477"/>
      <c r="J130" s="477"/>
      <c r="K130" s="477"/>
      <c r="L130" s="477"/>
    </row>
    <row r="131" spans="1:12">
      <c r="A131" s="477"/>
      <c r="B131" s="477"/>
      <c r="C131" s="477"/>
      <c r="D131" s="477"/>
      <c r="E131" s="477"/>
      <c r="F131" s="477"/>
      <c r="G131" s="477"/>
      <c r="H131" s="477"/>
      <c r="I131" s="477"/>
      <c r="J131" s="477"/>
      <c r="K131" s="477"/>
      <c r="L131" s="477"/>
    </row>
    <row r="132" spans="1:12">
      <c r="A132" s="477"/>
      <c r="B132" s="477"/>
      <c r="C132" s="477"/>
      <c r="D132" s="477"/>
      <c r="E132" s="477"/>
      <c r="F132" s="477"/>
      <c r="G132" s="477"/>
      <c r="H132" s="477"/>
      <c r="I132" s="477"/>
      <c r="J132" s="477"/>
      <c r="K132" s="477"/>
      <c r="L132" s="477"/>
    </row>
    <row r="133" spans="1:12">
      <c r="A133" s="477"/>
      <c r="B133" s="477"/>
      <c r="C133" s="477"/>
      <c r="D133" s="477"/>
      <c r="E133" s="477"/>
      <c r="F133" s="477"/>
      <c r="G133" s="477"/>
      <c r="H133" s="477"/>
      <c r="I133" s="477"/>
      <c r="J133" s="477"/>
      <c r="K133" s="477"/>
      <c r="L133" s="477"/>
    </row>
    <row r="134" spans="1:12">
      <c r="A134" s="477"/>
      <c r="B134" s="477"/>
      <c r="C134" s="477"/>
      <c r="D134" s="477"/>
      <c r="E134" s="477"/>
      <c r="F134" s="477"/>
      <c r="G134" s="477"/>
      <c r="H134" s="477"/>
      <c r="I134" s="477"/>
      <c r="J134" s="477"/>
      <c r="K134" s="477"/>
      <c r="L134" s="477"/>
    </row>
    <row r="135" spans="1:12">
      <c r="A135" s="477"/>
      <c r="B135" s="477"/>
      <c r="C135" s="477"/>
      <c r="D135" s="477"/>
      <c r="E135" s="477"/>
      <c r="F135" s="477"/>
      <c r="G135" s="477"/>
      <c r="H135" s="477"/>
      <c r="I135" s="477"/>
      <c r="J135" s="477"/>
      <c r="K135" s="477"/>
      <c r="L135" s="477"/>
    </row>
    <row r="136" spans="1:12">
      <c r="A136" s="477"/>
      <c r="B136" s="477"/>
      <c r="C136" s="477"/>
      <c r="D136" s="477"/>
      <c r="E136" s="477"/>
      <c r="F136" s="477"/>
      <c r="G136" s="477"/>
      <c r="H136" s="477"/>
      <c r="I136" s="477"/>
      <c r="J136" s="477"/>
      <c r="K136" s="477"/>
    </row>
    <row r="137" spans="1:12">
      <c r="A137" s="477"/>
      <c r="B137" s="477"/>
      <c r="C137" s="477"/>
      <c r="D137" s="477"/>
      <c r="E137" s="477"/>
      <c r="F137" s="477"/>
      <c r="G137" s="477"/>
      <c r="H137" s="477"/>
      <c r="I137" s="477"/>
      <c r="J137" s="477"/>
      <c r="K137" s="477"/>
    </row>
    <row r="138" spans="1:12">
      <c r="I138" s="477"/>
      <c r="J138" s="477"/>
      <c r="K138" s="477"/>
    </row>
    <row r="139" spans="1:12">
      <c r="J139" s="477"/>
      <c r="K139" s="477"/>
    </row>
  </sheetData>
  <sheetProtection sheet="1" objects="1" scenarios="1"/>
  <mergeCells count="142">
    <mergeCell ref="I62:K62"/>
    <mergeCell ref="A62:G62"/>
    <mergeCell ref="I58:K58"/>
    <mergeCell ref="I59:K59"/>
    <mergeCell ref="I60:K60"/>
    <mergeCell ref="I61:K61"/>
    <mergeCell ref="C57:D57"/>
    <mergeCell ref="E57:G57"/>
    <mergeCell ref="A58:B58"/>
    <mergeCell ref="A59:B59"/>
    <mergeCell ref="A60:B60"/>
    <mergeCell ref="A61:B61"/>
    <mergeCell ref="C58:D58"/>
    <mergeCell ref="C59:D59"/>
    <mergeCell ref="C60:D60"/>
    <mergeCell ref="C61:D61"/>
    <mergeCell ref="E58:G58"/>
    <mergeCell ref="E59:G59"/>
    <mergeCell ref="E60:G60"/>
    <mergeCell ref="E61:G61"/>
    <mergeCell ref="H57:K57"/>
    <mergeCell ref="A5:D5"/>
    <mergeCell ref="E2:O2"/>
    <mergeCell ref="E16:G16"/>
    <mergeCell ref="E17:G17"/>
    <mergeCell ref="E18:G18"/>
    <mergeCell ref="E5:G5"/>
    <mergeCell ref="E10:G10"/>
    <mergeCell ref="E11:G11"/>
    <mergeCell ref="E12:G12"/>
    <mergeCell ref="N7:N8"/>
    <mergeCell ref="E3:O3"/>
    <mergeCell ref="A2:D3"/>
    <mergeCell ref="A4:X4"/>
    <mergeCell ref="S6:X6"/>
    <mergeCell ref="V9:X9"/>
    <mergeCell ref="K5:L5"/>
    <mergeCell ref="E15:G15"/>
    <mergeCell ref="A6:R6"/>
    <mergeCell ref="K7:L7"/>
    <mergeCell ref="I9:J9"/>
    <mergeCell ref="I7:I8"/>
    <mergeCell ref="J7:J8"/>
    <mergeCell ref="K9:R9"/>
    <mergeCell ref="E7:G9"/>
    <mergeCell ref="DA7:DE7"/>
    <mergeCell ref="P7:P8"/>
    <mergeCell ref="AG7:AK7"/>
    <mergeCell ref="AL7:AP7"/>
    <mergeCell ref="AQ7:AU7"/>
    <mergeCell ref="AV7:AZ7"/>
    <mergeCell ref="CD7:CH7"/>
    <mergeCell ref="CI7:CM7"/>
    <mergeCell ref="CN7:CR7"/>
    <mergeCell ref="CS7:CW7"/>
    <mergeCell ref="Q7:Q8"/>
    <mergeCell ref="R7:R8"/>
    <mergeCell ref="E40:G40"/>
    <mergeCell ref="BG7:BK7"/>
    <mergeCell ref="BL7:BP7"/>
    <mergeCell ref="BQ7:BU7"/>
    <mergeCell ref="BV7:BZ7"/>
    <mergeCell ref="E37:G37"/>
    <mergeCell ref="E38:G38"/>
    <mergeCell ref="E31:G31"/>
    <mergeCell ref="E32:G32"/>
    <mergeCell ref="E34:G34"/>
    <mergeCell ref="E35:G35"/>
    <mergeCell ref="E36:G36"/>
    <mergeCell ref="E25:G25"/>
    <mergeCell ref="E26:G26"/>
    <mergeCell ref="E27:G27"/>
    <mergeCell ref="E28:G28"/>
    <mergeCell ref="AA7:AE7"/>
    <mergeCell ref="BC7:BF7"/>
    <mergeCell ref="H8:H9"/>
    <mergeCell ref="O7:O8"/>
    <mergeCell ref="S7:X7"/>
    <mergeCell ref="S9:U9"/>
    <mergeCell ref="E29:G29"/>
    <mergeCell ref="A67:C67"/>
    <mergeCell ref="A43:G43"/>
    <mergeCell ref="I43:K43"/>
    <mergeCell ref="A45:G45"/>
    <mergeCell ref="I45:K45"/>
    <mergeCell ref="A47:G47"/>
    <mergeCell ref="A51:H51"/>
    <mergeCell ref="I51:K51"/>
    <mergeCell ref="A41:I41"/>
    <mergeCell ref="A66:C66"/>
    <mergeCell ref="A44:G44"/>
    <mergeCell ref="I44:K44"/>
    <mergeCell ref="A65:C65"/>
    <mergeCell ref="I47:K47"/>
    <mergeCell ref="A48:G48"/>
    <mergeCell ref="I48:K48"/>
    <mergeCell ref="A46:G46"/>
    <mergeCell ref="I46:K46"/>
    <mergeCell ref="I49:K49"/>
    <mergeCell ref="A49:H49"/>
    <mergeCell ref="I54:K54"/>
    <mergeCell ref="I55:K55"/>
    <mergeCell ref="A54:G55"/>
    <mergeCell ref="A57:B57"/>
    <mergeCell ref="A8:D9"/>
    <mergeCell ref="I50:K50"/>
    <mergeCell ref="A50:H50"/>
    <mergeCell ref="I52:K52"/>
    <mergeCell ref="M43:X43"/>
    <mergeCell ref="M44:U44"/>
    <mergeCell ref="V44:X44"/>
    <mergeCell ref="M45:U45"/>
    <mergeCell ref="V45:X45"/>
    <mergeCell ref="M46:U46"/>
    <mergeCell ref="V46:X46"/>
    <mergeCell ref="M47:U47"/>
    <mergeCell ref="V47:X47"/>
    <mergeCell ref="E33:G33"/>
    <mergeCell ref="E30:G30"/>
    <mergeCell ref="E19:G19"/>
    <mergeCell ref="E20:G20"/>
    <mergeCell ref="E21:G21"/>
    <mergeCell ref="E22:G22"/>
    <mergeCell ref="E23:G23"/>
    <mergeCell ref="E24:G24"/>
    <mergeCell ref="E13:G13"/>
    <mergeCell ref="E14:G14"/>
    <mergeCell ref="E39:G39"/>
    <mergeCell ref="A56:K56"/>
    <mergeCell ref="M53:U53"/>
    <mergeCell ref="V53:X53"/>
    <mergeCell ref="M54:U54"/>
    <mergeCell ref="V54:X54"/>
    <mergeCell ref="M48:X48"/>
    <mergeCell ref="M49:U49"/>
    <mergeCell ref="V49:X49"/>
    <mergeCell ref="M50:U50"/>
    <mergeCell ref="V50:X50"/>
    <mergeCell ref="M51:U51"/>
    <mergeCell ref="V51:X51"/>
    <mergeCell ref="M52:U52"/>
    <mergeCell ref="V52:X52"/>
  </mergeCells>
  <phoneticPr fontId="5" type="noConversion"/>
  <conditionalFormatting sqref="A10:H10 D11:H32 A11:C40 D33:E33 H33 D34:H40">
    <cfRule type="expression" dxfId="862" priority="115">
      <formula>OR($C10="SH-dag")</formula>
    </cfRule>
    <cfRule type="expression" dxfId="861" priority="122" stopIfTrue="1">
      <formula>OR($C10="skoledag")</formula>
    </cfRule>
    <cfRule type="expression" dxfId="860" priority="121">
      <formula>OR($C10="weekend")</formula>
    </cfRule>
    <cfRule type="expression" dxfId="859" priority="6">
      <formula>OR($C10="Skema 1")</formula>
    </cfRule>
    <cfRule type="expression" dxfId="858" priority="120">
      <formula>OR($C10="feriedag")</formula>
    </cfRule>
    <cfRule type="expression" dxfId="857" priority="119">
      <formula>OR($C10="fagdag")</formula>
    </cfRule>
    <cfRule type="expression" dxfId="856" priority="118">
      <formula>OR($C10="emnedag")</formula>
    </cfRule>
    <cfRule type="expression" dxfId="855" priority="117">
      <formula>OR($C10="lejrskole")</formula>
    </cfRule>
    <cfRule type="expression" dxfId="854" priority="116">
      <formula>OR($C10="ekskursion")</formula>
    </cfRule>
    <cfRule type="expression" dxfId="853" priority="114">
      <formula>OR($C10="nul-dag")</formula>
    </cfRule>
    <cfRule type="expression" dxfId="852" priority="113">
      <formula>OR($C10="pæd.dag")</formula>
    </cfRule>
    <cfRule type="expression" dxfId="851" priority="112">
      <formula>OR($C10="Ikke relevant")</formula>
    </cfRule>
    <cfRule type="expression" dxfId="850" priority="94">
      <formula>OR($C10="Orlov")</formula>
    </cfRule>
    <cfRule type="expression" dxfId="849" priority="95">
      <formula>OR($C10="skema 2")</formula>
    </cfRule>
    <cfRule type="expression" dxfId="848" priority="96">
      <formula>OR($C10="Skema 3")</formula>
    </cfRule>
    <cfRule type="expression" dxfId="847" priority="97">
      <formula>OR($C10="Skema 4")</formula>
    </cfRule>
  </conditionalFormatting>
  <conditionalFormatting sqref="E21">
    <cfRule type="expression" dxfId="846" priority="129">
      <formula>OR($D20="fagdag")</formula>
    </cfRule>
    <cfRule type="expression" dxfId="845" priority="128">
      <formula>OR($D20="emnedag")</formula>
    </cfRule>
    <cfRule type="expression" dxfId="844" priority="127">
      <formula>OR($D20="lejrskole")</formula>
    </cfRule>
    <cfRule type="expression" dxfId="843" priority="130">
      <formula>OR($D20="feriedag")</formula>
    </cfRule>
    <cfRule type="expression" dxfId="842" priority="126">
      <formula>OR($D20="ekskursion")</formula>
    </cfRule>
    <cfRule type="expression" dxfId="841" priority="125">
      <formula>OR($D20="SH-dag")</formula>
    </cfRule>
    <cfRule type="expression" dxfId="840" priority="131">
      <formula>OR($D20="weekend")</formula>
    </cfRule>
    <cfRule type="expression" dxfId="839" priority="132" stopIfTrue="1">
      <formula>OR($D20="skoledag")</formula>
    </cfRule>
    <cfRule type="expression" dxfId="838" priority="133">
      <formula>OR($D20="Ikke relevant")</formula>
    </cfRule>
    <cfRule type="expression" dxfId="837" priority="124">
      <formula>OR($D20="nul-dag")</formula>
    </cfRule>
    <cfRule type="expression" dxfId="836" priority="123">
      <formula>OR($D20="pæd.dag")</formula>
    </cfRule>
  </conditionalFormatting>
  <conditionalFormatting sqref="H58:H61">
    <cfRule type="expression" dxfId="835" priority="3">
      <formula>OR($A58&gt;0,)</formula>
    </cfRule>
  </conditionalFormatting>
  <conditionalFormatting sqref="I58:I61">
    <cfRule type="expression" dxfId="834" priority="4">
      <formula>OR($C58&gt;0,)</formula>
    </cfRule>
  </conditionalFormatting>
  <conditionalFormatting sqref="K10:K40">
    <cfRule type="expression" dxfId="833" priority="55">
      <formula>OR($C10="Pæd.dag",)</formula>
    </cfRule>
  </conditionalFormatting>
  <conditionalFormatting sqref="K10:L40">
    <cfRule type="expression" dxfId="832" priority="56">
      <formula>OR($C10="Lejrskole",)</formula>
    </cfRule>
    <cfRule type="expression" dxfId="831" priority="57">
      <formula>OR($C10="Ekskursion",)</formula>
    </cfRule>
  </conditionalFormatting>
  <conditionalFormatting sqref="K10:M40">
    <cfRule type="expression" dxfId="830" priority="53">
      <formula>OR($C10="fagdag",)</formula>
    </cfRule>
    <cfRule type="expression" dxfId="829" priority="54">
      <formula>OR($C10="emnedag",)</formula>
    </cfRule>
  </conditionalFormatting>
  <conditionalFormatting sqref="R10:R40">
    <cfRule type="expression" dxfId="828" priority="558">
      <formula>OR($H10&gt;"0",)</formula>
    </cfRule>
  </conditionalFormatting>
  <conditionalFormatting sqref="V10:V40">
    <cfRule type="expression" dxfId="827" priority="47">
      <formula>OR($S10="X",)</formula>
    </cfRule>
  </conditionalFormatting>
  <conditionalFormatting sqref="V50:X53">
    <cfRule type="expression" dxfId="826" priority="2">
      <formula>OR($M50&gt;0,)</formula>
    </cfRule>
  </conditionalFormatting>
  <conditionalFormatting sqref="W10:W40">
    <cfRule type="expression" dxfId="825" priority="46">
      <formula>OR($T10="X",)</formula>
    </cfRule>
  </conditionalFormatting>
  <conditionalFormatting sqref="X10:X40">
    <cfRule type="expression" dxfId="824" priority="7">
      <formula>OR($U10="X",)</formula>
    </cfRule>
  </conditionalFormatting>
  <dataValidations count="4">
    <dataValidation type="list" allowBlank="1" showInputMessage="1" showErrorMessage="1" sqref="U10:U38 S10:T40 A58:D61" xr:uid="{2F74D57A-A412-BB4D-ABB3-024D4B21666C}">
      <formula1>$W$1:$W$2</formula1>
    </dataValidation>
    <dataValidation type="list" allowBlank="1" showInputMessage="1" sqref="C10:C40" xr:uid="{31E212A7-3A53-3C40-B063-4A6127A2D3DE}">
      <formula1>$A$89:$A$103</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8:I29 I14:I15 I21:I22 I35:I36" xr:uid="{38314C46-0B60-7140-A2EE-960121A27BEA}">
      <formula1>$W$1:$W$2</formula1>
    </dataValidation>
    <dataValidation type="list" allowBlank="1" showInputMessage="1" showErrorMessage="1" promptTitle="OBS:" prompt="Ved arrangementer med overnatning ydes istedet for ulempe- og weekendgodtgørelse på hhv. 25% og 50% faste tillæg pr. påbegyndt dag. " sqref="J10:J40" xr:uid="{98C03032-0D97-9B4A-B9D6-6EA00CB7F37B}">
      <formula1>$W$1:$W$2</formula1>
    </dataValidation>
  </dataValidations>
  <pageMargins left="0.7" right="0.7" top="0.75" bottom="0.75" header="0.3" footer="0.3"/>
  <pageSetup paperSize="9" scale="59" orientation="landscape" horizontalDpi="0" verticalDpi="0"/>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AA240-6AFD-FF4A-A5CD-D05AE6A16719}">
  <sheetPr>
    <tabColor theme="4" tint="-0.249977111117893"/>
    <pageSetUpPr fitToPage="1"/>
  </sheetPr>
  <dimension ref="A1:DN96"/>
  <sheetViews>
    <sheetView zoomScale="90" zoomScaleNormal="90" workbookViewId="0">
      <selection activeCell="E6" sqref="E6:G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21"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94"/>
      <c r="Y1" s="251"/>
      <c r="Z1" s="94"/>
      <c r="AB1" s="94"/>
      <c r="AC1" s="94"/>
      <c r="AH1" s="94"/>
      <c r="AI1" s="94"/>
      <c r="CX1" s="253"/>
      <c r="CZ1"/>
    </row>
    <row r="2" spans="1:118" ht="21" thickBot="1">
      <c r="A2" s="96">
        <v>9</v>
      </c>
      <c r="B2" s="1009"/>
      <c r="C2" s="1009"/>
      <c r="D2" s="1009"/>
      <c r="E2" s="1009"/>
      <c r="F2" s="94"/>
      <c r="G2" s="94"/>
      <c r="H2" s="292"/>
      <c r="I2" s="291"/>
      <c r="J2" s="234"/>
      <c r="K2" s="234"/>
      <c r="L2" s="234"/>
      <c r="M2" s="234"/>
      <c r="N2" s="234"/>
      <c r="O2" s="234"/>
      <c r="P2" s="94"/>
      <c r="Q2" s="94"/>
      <c r="R2" s="94"/>
      <c r="S2" s="94"/>
      <c r="T2" s="94"/>
      <c r="U2" s="94"/>
      <c r="V2" s="94"/>
      <c r="W2" s="127" t="s">
        <v>31</v>
      </c>
      <c r="X2" s="127"/>
      <c r="Y2" s="251"/>
      <c r="Z2" s="94"/>
      <c r="AB2" s="94"/>
      <c r="AC2" s="94"/>
      <c r="AH2" s="94"/>
      <c r="AI2" s="94"/>
      <c r="CX2" s="253"/>
      <c r="CZ2"/>
    </row>
    <row r="3" spans="1:118">
      <c r="A3" s="1010" t="s">
        <v>316</v>
      </c>
      <c r="B3" s="1011"/>
      <c r="C3" s="1011"/>
      <c r="D3" s="1011"/>
      <c r="E3" s="1011"/>
      <c r="F3" s="1011"/>
      <c r="G3" s="1011"/>
      <c r="H3" s="1011"/>
      <c r="I3" s="1011"/>
      <c r="J3" s="1011"/>
      <c r="K3" s="1011"/>
      <c r="L3" s="1011"/>
      <c r="M3" s="1011"/>
      <c r="N3" s="1011"/>
      <c r="O3" s="1011"/>
      <c r="P3" s="1011"/>
      <c r="Q3" s="1011"/>
      <c r="R3" s="1011"/>
      <c r="S3" s="1011"/>
      <c r="T3" s="1011"/>
      <c r="U3" s="1011"/>
      <c r="V3" s="1011"/>
      <c r="W3" s="1011"/>
      <c r="X3" s="1012"/>
      <c r="Y3"/>
      <c r="Z3" s="94"/>
      <c r="AA3" s="94"/>
      <c r="AE3" s="94"/>
      <c r="AF3" s="94"/>
      <c r="AG3" s="94"/>
      <c r="CV3" s="253"/>
      <c r="CW3" s="253"/>
      <c r="CY3"/>
      <c r="CZ3"/>
    </row>
    <row r="4" spans="1:118" ht="254" customHeight="1" thickBot="1">
      <c r="A4" s="921" t="s">
        <v>463</v>
      </c>
      <c r="B4" s="922"/>
      <c r="C4" s="922"/>
      <c r="D4" s="922"/>
      <c r="E4" s="923" t="s">
        <v>317</v>
      </c>
      <c r="F4" s="923"/>
      <c r="G4" s="923"/>
      <c r="H4" s="293" t="s">
        <v>442</v>
      </c>
      <c r="I4" s="468" t="s">
        <v>511</v>
      </c>
      <c r="J4" s="468" t="s">
        <v>512</v>
      </c>
      <c r="K4" s="933" t="s">
        <v>579</v>
      </c>
      <c r="L4" s="933"/>
      <c r="M4" s="533" t="s">
        <v>499</v>
      </c>
      <c r="N4" s="533" t="s">
        <v>464</v>
      </c>
      <c r="O4" s="533" t="s">
        <v>465</v>
      </c>
      <c r="P4" s="534" t="s">
        <v>500</v>
      </c>
      <c r="Q4" s="534" t="s">
        <v>315</v>
      </c>
      <c r="R4" s="534" t="s">
        <v>466</v>
      </c>
      <c r="S4" s="535" t="s">
        <v>509</v>
      </c>
      <c r="T4" s="535" t="s">
        <v>467</v>
      </c>
      <c r="U4" s="535" t="s">
        <v>468</v>
      </c>
      <c r="V4" s="536" t="s">
        <v>501</v>
      </c>
      <c r="W4" s="536" t="s">
        <v>427</v>
      </c>
      <c r="X4" s="537" t="s">
        <v>426</v>
      </c>
      <c r="Y4" s="251"/>
      <c r="Z4" s="94"/>
      <c r="AB4" s="94"/>
      <c r="AC4" s="94"/>
      <c r="AH4" s="94"/>
      <c r="AI4" s="94"/>
      <c r="CX4" s="253"/>
      <c r="CZ4"/>
    </row>
    <row r="5" spans="1:118" ht="26" thickBot="1">
      <c r="A5" s="934" t="str">
        <f>""&amp;A7&amp;" måneds kalender for: "&amp;Stamoplysninger!E8&amp;". Måneden vedr. normperioden: "&amp;Stamoplysninger!E11&amp;" - "&amp;Stamoplysninger!G11&amp;"."</f>
        <v>September måneds kalender for: . Måneden vedr. normperioden:  - .</v>
      </c>
      <c r="B5" s="935"/>
      <c r="C5" s="935"/>
      <c r="D5" s="935"/>
      <c r="E5" s="935"/>
      <c r="F5" s="935"/>
      <c r="G5" s="935"/>
      <c r="H5" s="935"/>
      <c r="I5" s="935"/>
      <c r="J5" s="935"/>
      <c r="K5" s="935"/>
      <c r="L5" s="935"/>
      <c r="M5" s="935"/>
      <c r="N5" s="935"/>
      <c r="O5" s="935"/>
      <c r="P5" s="935"/>
      <c r="Q5" s="935"/>
      <c r="R5" s="935"/>
      <c r="S5" s="928" t="s">
        <v>424</v>
      </c>
      <c r="T5" s="929"/>
      <c r="U5" s="929"/>
      <c r="V5" s="929"/>
      <c r="W5" s="929"/>
      <c r="X5" s="930"/>
      <c r="Y5" s="251"/>
      <c r="Z5" s="94"/>
      <c r="AB5" s="94"/>
      <c r="AC5" s="94"/>
      <c r="AH5" s="94"/>
      <c r="AI5" s="94"/>
      <c r="CX5" s="253"/>
      <c r="CZ5"/>
    </row>
    <row r="6" spans="1:118" ht="47" customHeight="1">
      <c r="A6" s="346">
        <f>August!A7</f>
        <v>2023</v>
      </c>
      <c r="B6" s="246"/>
      <c r="C6" s="247"/>
      <c r="D6" s="248"/>
      <c r="E6" s="941" t="s">
        <v>516</v>
      </c>
      <c r="F6" s="942"/>
      <c r="G6" s="943"/>
      <c r="H6" s="343" t="s">
        <v>344</v>
      </c>
      <c r="I6" s="912" t="s">
        <v>510</v>
      </c>
      <c r="J6" s="939" t="s">
        <v>535</v>
      </c>
      <c r="K6" s="936" t="s">
        <v>309</v>
      </c>
      <c r="L6" s="937"/>
      <c r="M6" s="344" t="s">
        <v>310</v>
      </c>
      <c r="N6" s="912" t="s">
        <v>478</v>
      </c>
      <c r="O6" s="912" t="s">
        <v>314</v>
      </c>
      <c r="P6" s="912" t="s">
        <v>498</v>
      </c>
      <c r="Q6" s="912" t="s">
        <v>413</v>
      </c>
      <c r="R6" s="919" t="s">
        <v>580</v>
      </c>
      <c r="S6" s="913" t="s">
        <v>311</v>
      </c>
      <c r="T6" s="914"/>
      <c r="U6" s="914"/>
      <c r="V6" s="914"/>
      <c r="W6" s="914"/>
      <c r="X6" s="915"/>
      <c r="Y6" s="216"/>
      <c r="Z6" s="216"/>
      <c r="AA6" s="909" t="s">
        <v>264</v>
      </c>
      <c r="AB6" s="909"/>
      <c r="AC6" s="909"/>
      <c r="AD6" s="909"/>
      <c r="AE6" s="909"/>
      <c r="AF6" s="213"/>
      <c r="AG6" s="909" t="s">
        <v>225</v>
      </c>
      <c r="AH6" s="909"/>
      <c r="AI6" s="909"/>
      <c r="AJ6" s="909"/>
      <c r="AK6" s="909"/>
      <c r="AL6" s="909" t="s">
        <v>226</v>
      </c>
      <c r="AM6" s="909"/>
      <c r="AN6" s="909"/>
      <c r="AO6" s="909"/>
      <c r="AP6" s="909"/>
      <c r="AQ6" s="909" t="s">
        <v>227</v>
      </c>
      <c r="AR6" s="909"/>
      <c r="AS6" s="909"/>
      <c r="AT6" s="909"/>
      <c r="AU6" s="909"/>
      <c r="AV6" s="909" t="s">
        <v>228</v>
      </c>
      <c r="AW6" s="909"/>
      <c r="AX6" s="909"/>
      <c r="AY6" s="909"/>
      <c r="AZ6" s="909"/>
      <c r="BA6" s="314"/>
      <c r="BB6" s="213"/>
      <c r="BC6" s="909" t="s">
        <v>267</v>
      </c>
      <c r="BD6" s="909"/>
      <c r="BE6" s="909"/>
      <c r="BF6" s="909"/>
      <c r="BG6" s="909" t="s">
        <v>230</v>
      </c>
      <c r="BH6" s="909"/>
      <c r="BI6" s="909"/>
      <c r="BJ6" s="909"/>
      <c r="BK6" s="909"/>
      <c r="BL6" s="909" t="s">
        <v>231</v>
      </c>
      <c r="BM6" s="909"/>
      <c r="BN6" s="909"/>
      <c r="BO6" s="909"/>
      <c r="BP6" s="909"/>
      <c r="BQ6" s="909" t="s">
        <v>232</v>
      </c>
      <c r="BR6" s="909"/>
      <c r="BS6" s="909"/>
      <c r="BT6" s="909"/>
      <c r="BU6" s="909"/>
      <c r="BV6" s="909" t="s">
        <v>233</v>
      </c>
      <c r="BW6" s="909"/>
      <c r="BX6" s="909"/>
      <c r="BY6" s="909"/>
      <c r="BZ6" s="909"/>
      <c r="CD6" s="909" t="s">
        <v>268</v>
      </c>
      <c r="CE6" s="909"/>
      <c r="CF6" s="909"/>
      <c r="CG6" s="909"/>
      <c r="CH6" s="909"/>
      <c r="CI6" s="909" t="s">
        <v>270</v>
      </c>
      <c r="CJ6" s="909"/>
      <c r="CK6" s="909"/>
      <c r="CL6" s="909"/>
      <c r="CM6" s="909"/>
      <c r="CN6" s="909" t="s">
        <v>269</v>
      </c>
      <c r="CO6" s="909"/>
      <c r="CP6" s="909"/>
      <c r="CQ6" s="909"/>
      <c r="CR6" s="909"/>
      <c r="CS6" s="909" t="s">
        <v>271</v>
      </c>
      <c r="CT6" s="909"/>
      <c r="CU6" s="909"/>
      <c r="CV6" s="909"/>
      <c r="CW6" s="909"/>
      <c r="CX6" s="253"/>
      <c r="CZ6"/>
      <c r="DA6" s="682" t="s">
        <v>215</v>
      </c>
      <c r="DB6" s="682"/>
      <c r="DC6" s="682"/>
      <c r="DD6" s="682"/>
      <c r="DE6" s="682"/>
    </row>
    <row r="7" spans="1:118" ht="151" customHeight="1">
      <c r="A7" s="828" t="s">
        <v>239</v>
      </c>
      <c r="B7" s="829"/>
      <c r="C7" s="829"/>
      <c r="D7" s="830"/>
      <c r="E7" s="944"/>
      <c r="F7" s="945"/>
      <c r="G7" s="946"/>
      <c r="H7" s="910" t="s">
        <v>534</v>
      </c>
      <c r="I7" s="938"/>
      <c r="J7" s="940"/>
      <c r="K7" s="345" t="s">
        <v>581</v>
      </c>
      <c r="L7" s="345" t="s">
        <v>582</v>
      </c>
      <c r="M7" s="345" t="s">
        <v>583</v>
      </c>
      <c r="N7" s="911"/>
      <c r="O7" s="911"/>
      <c r="P7" s="911"/>
      <c r="Q7" s="911"/>
      <c r="R7" s="920"/>
      <c r="S7" s="539" t="s">
        <v>508</v>
      </c>
      <c r="T7" s="344" t="s">
        <v>313</v>
      </c>
      <c r="U7" s="344" t="s">
        <v>428</v>
      </c>
      <c r="V7" s="475" t="s">
        <v>470</v>
      </c>
      <c r="W7" s="475" t="s">
        <v>469</v>
      </c>
      <c r="X7" s="476" t="s">
        <v>425</v>
      </c>
      <c r="Y7" s="216" t="s">
        <v>282</v>
      </c>
      <c r="Z7" s="466" t="s">
        <v>283</v>
      </c>
      <c r="AA7" s="316" t="s">
        <v>214</v>
      </c>
      <c r="AB7" t="s">
        <v>137</v>
      </c>
      <c r="AC7" t="s">
        <v>140</v>
      </c>
      <c r="AD7" t="s">
        <v>139</v>
      </c>
      <c r="AE7" t="s">
        <v>138</v>
      </c>
      <c r="AF7" t="s">
        <v>444</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266</v>
      </c>
      <c r="BD7" t="s">
        <v>265</v>
      </c>
      <c r="BE7" t="s">
        <v>251</v>
      </c>
      <c r="BF7" t="s">
        <v>252</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254</v>
      </c>
      <c r="CC7" s="316" t="s">
        <v>255</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280</v>
      </c>
      <c r="CY7" s="253" t="s">
        <v>272</v>
      </c>
      <c r="CZ7" s="253" t="s">
        <v>273</v>
      </c>
      <c r="DA7" s="253" t="s">
        <v>274</v>
      </c>
      <c r="DB7" s="253" t="s">
        <v>275</v>
      </c>
      <c r="DC7" s="253" t="s">
        <v>276</v>
      </c>
      <c r="DD7" s="253" t="s">
        <v>277</v>
      </c>
      <c r="DE7" s="253" t="s">
        <v>278</v>
      </c>
      <c r="DF7" s="253" t="s">
        <v>279</v>
      </c>
      <c r="DG7" s="253"/>
    </row>
    <row r="8" spans="1:118" ht="20" customHeight="1">
      <c r="A8" s="831"/>
      <c r="B8" s="832"/>
      <c r="C8" s="832"/>
      <c r="D8" s="833"/>
      <c r="E8" s="947"/>
      <c r="F8" s="948"/>
      <c r="G8" s="949"/>
      <c r="H8" s="911"/>
      <c r="I8" s="931" t="s">
        <v>409</v>
      </c>
      <c r="J8" s="918"/>
      <c r="K8" s="931" t="s">
        <v>346</v>
      </c>
      <c r="L8" s="917"/>
      <c r="M8" s="917"/>
      <c r="N8" s="917"/>
      <c r="O8" s="917"/>
      <c r="P8" s="917"/>
      <c r="Q8" s="917"/>
      <c r="R8" s="917"/>
      <c r="S8" s="916" t="s">
        <v>409</v>
      </c>
      <c r="T8" s="917"/>
      <c r="U8" s="918"/>
      <c r="V8" s="998" t="s">
        <v>410</v>
      </c>
      <c r="W8" s="999"/>
      <c r="X8" s="1000"/>
      <c r="Y8" s="216"/>
      <c r="Z8" s="466"/>
      <c r="AA8" s="316"/>
      <c r="BB8" s="232"/>
      <c r="CA8" s="116"/>
      <c r="CB8" s="238"/>
      <c r="CC8" s="316"/>
      <c r="CX8" s="253"/>
      <c r="DA8" s="253"/>
      <c r="DB8" s="253"/>
      <c r="DC8" s="253"/>
      <c r="DD8" s="253"/>
      <c r="DE8" s="253"/>
      <c r="DF8" s="253"/>
      <c r="DG8" s="253"/>
      <c r="DH8" t="s">
        <v>543</v>
      </c>
      <c r="DI8" t="s">
        <v>544</v>
      </c>
      <c r="DJ8" t="s">
        <v>545</v>
      </c>
    </row>
    <row r="9" spans="1:118">
      <c r="A9" s="249">
        <f>IF(ISNUMBER(A7),A7+1,1)</f>
        <v>1</v>
      </c>
      <c r="B9" s="132" t="str">
        <f t="shared" ref="B9:B38" si="0">CHOOSE(MOD(WEEKDAY(DATE(A$6,A$2,A9)),7)+1,"lø","sø","ma","ti","on","to","fr",)</f>
        <v>fr</v>
      </c>
      <c r="C9" s="133" t="s">
        <v>209</v>
      </c>
      <c r="D9" s="134" t="str">
        <f t="shared" ref="D9:D38" si="1">IF(B9="ma",(DATE(A$6,A$2,A9)-DATE(A$6,1,1)+7)/7,"")</f>
        <v/>
      </c>
      <c r="E9" s="871"/>
      <c r="F9" s="872"/>
      <c r="G9" s="873"/>
      <c r="H9" s="313"/>
      <c r="I9" s="582"/>
      <c r="J9" s="440"/>
      <c r="K9" s="405"/>
      <c r="L9" s="405"/>
      <c r="M9" s="405"/>
      <c r="N9" s="334">
        <f>BA9</f>
        <v>0</v>
      </c>
      <c r="O9" s="334">
        <f>CA9</f>
        <v>0</v>
      </c>
      <c r="P9" s="334">
        <f>IF(Stamoplysninger!$H$29="JA",September!DG9,CX9)</f>
        <v>0</v>
      </c>
      <c r="Q9" s="334">
        <f>IF(OR(C9="Lejrskole",C9="Ekskursion"),0,N9-O9-P9)</f>
        <v>0</v>
      </c>
      <c r="R9" s="335"/>
      <c r="S9" s="341"/>
      <c r="T9" s="342"/>
      <c r="U9" s="342"/>
      <c r="V9" s="462"/>
      <c r="W9" s="336"/>
      <c r="X9" s="469"/>
      <c r="Y9">
        <f>IF($S$9="x",V9-N9,0)</f>
        <v>0</v>
      </c>
      <c r="Z9" s="467">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f>IF(AND(C9="Skema 1",B9="fr"),Arbejdstidsoversigt!$E$48,"")</f>
        <v>0</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8" si="7">SUM(AG9:AK9)*24</f>
        <v>0</v>
      </c>
      <c r="BC9" s="1">
        <f>IF($C$9="Lejrskole",$L$9,0)</f>
        <v>0</v>
      </c>
      <c r="BD9" s="1">
        <f t="shared" ref="BD9:BD38" si="8">IF(C9="Ekskursion",L9,0)</f>
        <v>0</v>
      </c>
      <c r="BE9" s="1">
        <f t="shared" ref="BE9:BE38" si="9">IF(C9="fagdag",L9,0)</f>
        <v>0</v>
      </c>
      <c r="BF9" s="1">
        <f t="shared" ref="BF9:BF38" si="10">IF(C9="emnedag",L9,0)</f>
        <v>0</v>
      </c>
      <c r="BG9" s="214" t="str">
        <f>IF(AND($C$9="Skema 1",$B$9="ma"),Skemaoplysninger!E30,"")</f>
        <v/>
      </c>
      <c r="BH9" s="214" t="str">
        <f>IF(AND(C9="Skema 1",B9="ti"),Skemaoplysninger!$F$30,"")</f>
        <v/>
      </c>
      <c r="BI9" s="214" t="str">
        <f>IF(AND(C9="Skema 1",B9="on"),Skemaoplysninger!$G$30,"")</f>
        <v/>
      </c>
      <c r="BJ9" s="214" t="str">
        <f>IF(AND(C9="Skema 1",B9="to"),Skemaoplysninger!$H$30,"")</f>
        <v/>
      </c>
      <c r="BK9" s="214">
        <f>IF(AND(C9="Skema 1",B9="fr"),Skemaoplysninger!$I$30,"")</f>
        <v>0</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8" si="11">IF(C9="fagdag",M9,0)</f>
        <v>0</v>
      </c>
      <c r="CC9" s="1">
        <f t="shared" ref="CC9:CC38" si="12">IF(C9="emnedag",M9,0)</f>
        <v>0</v>
      </c>
      <c r="CD9" s="214" t="str">
        <f>IF(AND(C9="Skema 1",B9="ma"),Skemaoplysninger!$E$39,"")</f>
        <v/>
      </c>
      <c r="CE9" s="214" t="str">
        <f>IF(AND(C9="Skema 1",B9="ti"),Skemaoplysninger!$F$39,"")</f>
        <v/>
      </c>
      <c r="CF9" s="214" t="str">
        <f>IF(AND(C9="Skema 1",B9="on"),Skemaoplysninger!$G$39,"")</f>
        <v/>
      </c>
      <c r="CG9" s="214" t="str">
        <f>IF(AND(C9="Skema 1",B9="to"),Skemaoplysninger!$H$39,"")</f>
        <v/>
      </c>
      <c r="CH9" s="214">
        <f>IF(AND(C9="Skema 1",B9="fr"),Skemaoplysninger!$I$39,"")</f>
        <v>0</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9" si="13">IF(DH9=0,"",DH9)</f>
        <v/>
      </c>
      <c r="DL9" t="str">
        <f>IF(DI9=0,"",DI9)</f>
        <v/>
      </c>
      <c r="DM9" t="str">
        <f>IF(DJ9=0,"",DJ9)</f>
        <v/>
      </c>
      <c r="DN9" t="str">
        <f t="shared" ref="DN9:DN13" si="14">DK9&amp;""&amp;DL9&amp;""&amp;DM9</f>
        <v/>
      </c>
    </row>
    <row r="10" spans="1:118">
      <c r="A10" s="249">
        <f t="shared" ref="A10:A38" si="15">IF(ISNUMBER(A9),A9+1,1)</f>
        <v>2</v>
      </c>
      <c r="B10" s="132" t="str">
        <f t="shared" si="0"/>
        <v>lø</v>
      </c>
      <c r="C10" s="133" t="s">
        <v>121</v>
      </c>
      <c r="D10" s="134" t="str">
        <f t="shared" si="1"/>
        <v/>
      </c>
      <c r="E10" s="871"/>
      <c r="F10" s="872"/>
      <c r="G10" s="873"/>
      <c r="H10" s="313"/>
      <c r="I10" s="440"/>
      <c r="J10" s="440"/>
      <c r="K10" s="405"/>
      <c r="L10" s="405"/>
      <c r="M10" s="405"/>
      <c r="N10" s="334">
        <f t="shared" ref="N10:N38" si="16">BA10</f>
        <v>0</v>
      </c>
      <c r="O10" s="334">
        <f t="shared" ref="O10:O38" si="17">CA10</f>
        <v>0</v>
      </c>
      <c r="P10" s="334">
        <f>IF(Stamoplysninger!$H$29="JA",September!DG10,CX10)</f>
        <v>0</v>
      </c>
      <c r="Q10" s="334">
        <f t="shared" ref="Q10:Q38" si="18">IF(OR(C10="Lejrskole",C10="Ekskursion"),0,N10-O10-P10)</f>
        <v>0</v>
      </c>
      <c r="R10" s="335"/>
      <c r="S10" s="341"/>
      <c r="T10" s="342"/>
      <c r="U10" s="342"/>
      <c r="V10" s="462"/>
      <c r="W10" s="336"/>
      <c r="X10" s="469"/>
      <c r="Y10">
        <f t="shared" ref="Y10:Y38" si="19">IF(S10="x",V10-N10,0)</f>
        <v>0</v>
      </c>
      <c r="Z10" s="467">
        <f t="shared" ref="Z10:Z38" si="20">W10</f>
        <v>0</v>
      </c>
      <c r="AA10" s="1">
        <f t="shared" si="2"/>
        <v>0</v>
      </c>
      <c r="AB10" s="1">
        <f t="shared" si="3"/>
        <v>0</v>
      </c>
      <c r="AC10" s="1">
        <f t="shared" si="4"/>
        <v>0</v>
      </c>
      <c r="AD10" s="1">
        <f t="shared" si="5"/>
        <v>0</v>
      </c>
      <c r="AE10" s="1">
        <f t="shared" si="6"/>
        <v>0</v>
      </c>
      <c r="AF10" s="1">
        <f>IF(C10="Orlov",7.4*Stamoplysninger!$E$15,0)</f>
        <v>0</v>
      </c>
      <c r="AG10" t="str">
        <f>IF(AND(C10="Skema 1",B10="ma"),Arbejdstidsoversigt!$E$44,"")</f>
        <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7" si="21">SUM(AA10:AZ10)</f>
        <v>0</v>
      </c>
      <c r="BB10" s="233">
        <f t="shared" si="7"/>
        <v>0</v>
      </c>
      <c r="BC10" s="1">
        <f t="shared" ref="BC10:BC38" si="22">IF(C10="Lejrskole",L10,0)</f>
        <v>0</v>
      </c>
      <c r="BD10" s="1">
        <f t="shared" si="8"/>
        <v>0</v>
      </c>
      <c r="BE10" s="1">
        <f t="shared" si="9"/>
        <v>0</v>
      </c>
      <c r="BF10" s="1">
        <f t="shared" si="10"/>
        <v>0</v>
      </c>
      <c r="BG10" s="214" t="str">
        <f>IF(AND(C10="Skema 1",B10="ma"),Skemaoplysninger!$E$30,"")</f>
        <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8" si="23">SUM(BG10:BZ10)*24+SUM(BC10:BF10)</f>
        <v>0</v>
      </c>
      <c r="CB10" s="1">
        <f t="shared" si="11"/>
        <v>0</v>
      </c>
      <c r="CC10" s="1">
        <f t="shared" si="12"/>
        <v>0</v>
      </c>
      <c r="CD10" s="214" t="str">
        <f>IF(AND(C10="Skema 1",B10="ma"),Skemaoplysninger!$E$39,"")</f>
        <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8" si="24">SUM(CY10:DF10)</f>
        <v>0</v>
      </c>
      <c r="DH10" t="str">
        <f t="shared" ref="DH10:DH39" si="25">IF(AND(E10&gt;0,H10&gt;0),""&amp;E10&amp;" og "&amp;H10&amp;"","")</f>
        <v/>
      </c>
      <c r="DI10">
        <f t="shared" ref="DI10:DI38" si="26">IF(H10="",E10,"")</f>
        <v>0</v>
      </c>
      <c r="DJ10">
        <f t="shared" ref="DJ10:DJ38" si="27">IF(E10="",H10,"")</f>
        <v>0</v>
      </c>
      <c r="DK10" t="str">
        <f t="shared" si="13"/>
        <v/>
      </c>
      <c r="DL10" t="str">
        <f t="shared" si="13"/>
        <v/>
      </c>
      <c r="DM10" t="str">
        <f t="shared" si="13"/>
        <v/>
      </c>
      <c r="DN10" t="str">
        <f t="shared" si="14"/>
        <v/>
      </c>
    </row>
    <row r="11" spans="1:118">
      <c r="A11" s="249">
        <f t="shared" si="15"/>
        <v>3</v>
      </c>
      <c r="B11" s="132" t="str">
        <f t="shared" si="0"/>
        <v>sø</v>
      </c>
      <c r="C11" s="133" t="s">
        <v>121</v>
      </c>
      <c r="D11" s="134" t="str">
        <f t="shared" si="1"/>
        <v/>
      </c>
      <c r="E11" s="871"/>
      <c r="F11" s="872"/>
      <c r="G11" s="873"/>
      <c r="H11" s="313"/>
      <c r="I11" s="440"/>
      <c r="J11" s="440"/>
      <c r="K11" s="405"/>
      <c r="L11" s="405"/>
      <c r="M11" s="405"/>
      <c r="N11" s="334">
        <f t="shared" si="16"/>
        <v>0</v>
      </c>
      <c r="O11" s="334">
        <f t="shared" si="17"/>
        <v>0</v>
      </c>
      <c r="P11" s="334">
        <f>IF(Stamoplysninger!$H$29="JA",September!DG11,CX11)</f>
        <v>0</v>
      </c>
      <c r="Q11" s="334">
        <f t="shared" si="18"/>
        <v>0</v>
      </c>
      <c r="R11" s="335"/>
      <c r="S11" s="341"/>
      <c r="T11" s="342"/>
      <c r="U11" s="342"/>
      <c r="V11" s="462"/>
      <c r="W11" s="336"/>
      <c r="X11" s="469"/>
      <c r="Y11">
        <f t="shared" si="19"/>
        <v>0</v>
      </c>
      <c r="Z11" s="467">
        <f t="shared" si="20"/>
        <v>0</v>
      </c>
      <c r="AA11" s="1">
        <f t="shared" si="2"/>
        <v>0</v>
      </c>
      <c r="AB11" s="1">
        <f t="shared" si="3"/>
        <v>0</v>
      </c>
      <c r="AC11" s="1">
        <f t="shared" si="4"/>
        <v>0</v>
      </c>
      <c r="AD11" s="1">
        <f t="shared" si="5"/>
        <v>0</v>
      </c>
      <c r="AE11" s="1">
        <f t="shared" si="6"/>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1"/>
        <v>0</v>
      </c>
      <c r="BB11" s="233">
        <f t="shared" si="7"/>
        <v>0</v>
      </c>
      <c r="BC11" s="1">
        <f t="shared" si="22"/>
        <v>0</v>
      </c>
      <c r="BD11" s="1">
        <f t="shared" si="8"/>
        <v>0</v>
      </c>
      <c r="BE11" s="1">
        <f t="shared" si="9"/>
        <v>0</v>
      </c>
      <c r="BF11" s="1">
        <f t="shared" si="10"/>
        <v>0</v>
      </c>
      <c r="BG11" s="214" t="str">
        <f>IF(AND(C11="Skema 1",B11="ma"),Skemaoplysninger!$E$30,"")</f>
        <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3"/>
        <v>0</v>
      </c>
      <c r="CB11" s="1">
        <f t="shared" si="11"/>
        <v>0</v>
      </c>
      <c r="CC11" s="1">
        <f t="shared" si="12"/>
        <v>0</v>
      </c>
      <c r="CD11" s="214" t="str">
        <f>IF(AND(C11="Skema 1",B11="ma"),Skemaoplysninger!$E$39,"")</f>
        <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4"/>
        <v>0</v>
      </c>
      <c r="DH11" t="str">
        <f t="shared" si="25"/>
        <v/>
      </c>
      <c r="DI11">
        <f t="shared" si="26"/>
        <v>0</v>
      </c>
      <c r="DJ11">
        <f t="shared" si="27"/>
        <v>0</v>
      </c>
      <c r="DK11" t="str">
        <f t="shared" si="13"/>
        <v/>
      </c>
      <c r="DL11" t="str">
        <f t="shared" si="13"/>
        <v/>
      </c>
      <c r="DM11" t="str">
        <f t="shared" si="13"/>
        <v/>
      </c>
      <c r="DN11" t="str">
        <f t="shared" si="14"/>
        <v/>
      </c>
    </row>
    <row r="12" spans="1:118">
      <c r="A12" s="249">
        <f t="shared" si="15"/>
        <v>4</v>
      </c>
      <c r="B12" s="132" t="str">
        <f t="shared" si="0"/>
        <v>ma</v>
      </c>
      <c r="C12" s="133" t="s">
        <v>209</v>
      </c>
      <c r="D12" s="134">
        <f t="shared" si="1"/>
        <v>36.142857142857146</v>
      </c>
      <c r="E12" s="871"/>
      <c r="F12" s="872"/>
      <c r="G12" s="873"/>
      <c r="H12" s="313"/>
      <c r="I12" s="582"/>
      <c r="J12" s="440"/>
      <c r="K12" s="405"/>
      <c r="L12" s="405"/>
      <c r="M12" s="405"/>
      <c r="N12" s="334">
        <f t="shared" si="16"/>
        <v>0</v>
      </c>
      <c r="O12" s="334">
        <f t="shared" si="17"/>
        <v>0</v>
      </c>
      <c r="P12" s="334">
        <f>IF(Stamoplysninger!$H$29="JA",September!DG12,CX12)</f>
        <v>0</v>
      </c>
      <c r="Q12" s="334">
        <f t="shared" si="18"/>
        <v>0</v>
      </c>
      <c r="R12" s="335"/>
      <c r="S12" s="341"/>
      <c r="T12" s="342"/>
      <c r="U12" s="342"/>
      <c r="V12" s="462"/>
      <c r="W12" s="336"/>
      <c r="X12" s="469"/>
      <c r="Y12">
        <f t="shared" si="19"/>
        <v>0</v>
      </c>
      <c r="Z12" s="467">
        <f t="shared" si="20"/>
        <v>0</v>
      </c>
      <c r="AA12" s="1">
        <f t="shared" si="2"/>
        <v>0</v>
      </c>
      <c r="AB12" s="1">
        <f t="shared" si="3"/>
        <v>0</v>
      </c>
      <c r="AC12" s="1">
        <f t="shared" si="4"/>
        <v>0</v>
      </c>
      <c r="AD12" s="1">
        <f t="shared" si="5"/>
        <v>0</v>
      </c>
      <c r="AE12" s="1">
        <f t="shared" si="6"/>
        <v>0</v>
      </c>
      <c r="AF12" s="1">
        <f>IF(C12="Orlov",7.4*Stamoplysninger!$E$15,0)</f>
        <v>0</v>
      </c>
      <c r="AG12">
        <f>IF(AND(C12="Skema 1",B12="ma"),Arbejdstidsoversigt!$E$44,"")</f>
        <v>0</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1"/>
        <v>0</v>
      </c>
      <c r="BB12" s="233">
        <f t="shared" si="7"/>
        <v>0</v>
      </c>
      <c r="BC12" s="1">
        <f t="shared" si="22"/>
        <v>0</v>
      </c>
      <c r="BD12" s="1">
        <f t="shared" si="8"/>
        <v>0</v>
      </c>
      <c r="BE12" s="1">
        <f t="shared" si="9"/>
        <v>0</v>
      </c>
      <c r="BF12" s="1">
        <f t="shared" si="10"/>
        <v>0</v>
      </c>
      <c r="BG12" s="214">
        <f>IF(AND(C12="Skema 1",B12="ma"),Skemaoplysninger!$E$30,"")</f>
        <v>0</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3"/>
        <v>0</v>
      </c>
      <c r="CB12" s="1">
        <f t="shared" si="11"/>
        <v>0</v>
      </c>
      <c r="CC12" s="1">
        <f t="shared" si="12"/>
        <v>0</v>
      </c>
      <c r="CD12" s="214">
        <f>IF(AND(C12="Skema 1",B12="ma"),Skemaoplysninger!$E$39,"")</f>
        <v>0</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4"/>
        <v>0</v>
      </c>
      <c r="DH12" t="str">
        <f t="shared" si="25"/>
        <v/>
      </c>
      <c r="DI12">
        <f t="shared" si="26"/>
        <v>0</v>
      </c>
      <c r="DJ12">
        <f>IF(E12="",H12,"")</f>
        <v>0</v>
      </c>
      <c r="DK12" t="str">
        <f t="shared" si="13"/>
        <v/>
      </c>
      <c r="DL12" t="str">
        <f t="shared" si="13"/>
        <v/>
      </c>
      <c r="DM12" t="str">
        <f t="shared" si="13"/>
        <v/>
      </c>
      <c r="DN12" t="str">
        <f t="shared" si="14"/>
        <v/>
      </c>
    </row>
    <row r="13" spans="1:118">
      <c r="A13" s="249">
        <f t="shared" si="15"/>
        <v>5</v>
      </c>
      <c r="B13" s="132" t="str">
        <f t="shared" si="0"/>
        <v>ti</v>
      </c>
      <c r="C13" s="133" t="s">
        <v>209</v>
      </c>
      <c r="D13" s="134" t="str">
        <f t="shared" si="1"/>
        <v/>
      </c>
      <c r="E13" s="871"/>
      <c r="F13" s="872"/>
      <c r="G13" s="873"/>
      <c r="H13" s="313"/>
      <c r="I13" s="582"/>
      <c r="J13" s="440"/>
      <c r="K13" s="405"/>
      <c r="L13" s="405"/>
      <c r="M13" s="405"/>
      <c r="N13" s="334">
        <f t="shared" si="16"/>
        <v>0</v>
      </c>
      <c r="O13" s="334">
        <f t="shared" si="17"/>
        <v>0</v>
      </c>
      <c r="P13" s="334">
        <f>IF(Stamoplysninger!$H$29="JA",September!DG13,CX13)</f>
        <v>0</v>
      </c>
      <c r="Q13" s="334">
        <f t="shared" si="18"/>
        <v>0</v>
      </c>
      <c r="R13" s="335"/>
      <c r="S13" s="341"/>
      <c r="T13" s="342"/>
      <c r="U13" s="342"/>
      <c r="V13" s="462"/>
      <c r="W13" s="336"/>
      <c r="X13" s="469"/>
      <c r="Y13">
        <f t="shared" si="19"/>
        <v>0</v>
      </c>
      <c r="Z13" s="467">
        <f t="shared" si="20"/>
        <v>0</v>
      </c>
      <c r="AA13" s="1">
        <f t="shared" si="2"/>
        <v>0</v>
      </c>
      <c r="AB13" s="1">
        <f t="shared" si="3"/>
        <v>0</v>
      </c>
      <c r="AC13" s="1">
        <f t="shared" si="4"/>
        <v>0</v>
      </c>
      <c r="AD13" s="1">
        <f t="shared" si="5"/>
        <v>0</v>
      </c>
      <c r="AE13" s="1">
        <f t="shared" si="6"/>
        <v>0</v>
      </c>
      <c r="AF13" s="1">
        <f>IF(C13="Orlov",7.4*Stamoplysninger!$E$15,0)</f>
        <v>0</v>
      </c>
      <c r="AG13" t="str">
        <f>IF(AND(C13="Skema 1",B13="ma"),Arbejdstidsoversigt!$E$44,"")</f>
        <v/>
      </c>
      <c r="AH13">
        <f>IF(AND(C13="Skema 1",B13="ti"),Arbejdstidsoversigt!$E$45,"")</f>
        <v>0</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1"/>
        <v>0</v>
      </c>
      <c r="BB13" s="233">
        <f t="shared" si="7"/>
        <v>0</v>
      </c>
      <c r="BC13" s="1">
        <f t="shared" si="22"/>
        <v>0</v>
      </c>
      <c r="BD13" s="1">
        <f t="shared" si="8"/>
        <v>0</v>
      </c>
      <c r="BE13" s="1">
        <f t="shared" si="9"/>
        <v>0</v>
      </c>
      <c r="BF13" s="1">
        <f t="shared" si="10"/>
        <v>0</v>
      </c>
      <c r="BG13" s="214" t="str">
        <f>IF(AND(C13="Skema 1",B13="ma"),Skemaoplysninger!$E$30,"")</f>
        <v/>
      </c>
      <c r="BH13" s="214">
        <f>IF(AND(C13="Skema 1",B13="ti"),Skemaoplysninger!$F$30,"")</f>
        <v>0</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3"/>
        <v>0</v>
      </c>
      <c r="CB13" s="1">
        <f t="shared" si="11"/>
        <v>0</v>
      </c>
      <c r="CC13" s="1">
        <f t="shared" si="12"/>
        <v>0</v>
      </c>
      <c r="CD13" s="214" t="str">
        <f>IF(AND(C13="Skema 1",B13="ma"),Skemaoplysninger!$E$39,"")</f>
        <v/>
      </c>
      <c r="CE13" s="214">
        <f>IF(AND(C13="Skema 1",B13="ti"),Skemaoplysninger!$F$39,"")</f>
        <v>0</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4"/>
        <v>0</v>
      </c>
      <c r="DH13" t="str">
        <f t="shared" si="25"/>
        <v/>
      </c>
      <c r="DI13">
        <f t="shared" si="26"/>
        <v>0</v>
      </c>
      <c r="DJ13">
        <f t="shared" si="27"/>
        <v>0</v>
      </c>
      <c r="DK13" t="str">
        <f t="shared" si="13"/>
        <v/>
      </c>
      <c r="DL13" t="str">
        <f t="shared" si="13"/>
        <v/>
      </c>
      <c r="DM13" t="str">
        <f t="shared" si="13"/>
        <v/>
      </c>
      <c r="DN13" t="str">
        <f t="shared" si="14"/>
        <v/>
      </c>
    </row>
    <row r="14" spans="1:118" ht="16" customHeight="1">
      <c r="A14" s="249">
        <f t="shared" si="15"/>
        <v>6</v>
      </c>
      <c r="B14" s="132" t="str">
        <f t="shared" si="0"/>
        <v>on</v>
      </c>
      <c r="C14" s="133" t="s">
        <v>209</v>
      </c>
      <c r="D14" s="134" t="str">
        <f t="shared" si="1"/>
        <v/>
      </c>
      <c r="E14" s="871"/>
      <c r="F14" s="872"/>
      <c r="G14" s="873"/>
      <c r="H14" s="313"/>
      <c r="I14" s="582"/>
      <c r="J14" s="440"/>
      <c r="K14" s="405"/>
      <c r="L14" s="405"/>
      <c r="M14" s="405"/>
      <c r="N14" s="334">
        <f t="shared" si="16"/>
        <v>0</v>
      </c>
      <c r="O14" s="334">
        <f t="shared" si="17"/>
        <v>0</v>
      </c>
      <c r="P14" s="334">
        <f>IF(Stamoplysninger!$H$29="JA",September!DG14,CX14)</f>
        <v>0</v>
      </c>
      <c r="Q14" s="334">
        <f t="shared" si="18"/>
        <v>0</v>
      </c>
      <c r="R14" s="335"/>
      <c r="S14" s="341"/>
      <c r="T14" s="342"/>
      <c r="U14" s="342"/>
      <c r="V14" s="462"/>
      <c r="W14" s="336"/>
      <c r="X14" s="469"/>
      <c r="Y14">
        <f t="shared" si="19"/>
        <v>0</v>
      </c>
      <c r="Z14" s="467">
        <f t="shared" si="20"/>
        <v>0</v>
      </c>
      <c r="AA14" s="1">
        <f t="shared" si="2"/>
        <v>0</v>
      </c>
      <c r="AB14" s="1">
        <f t="shared" si="3"/>
        <v>0</v>
      </c>
      <c r="AC14" s="1">
        <f t="shared" si="4"/>
        <v>0</v>
      </c>
      <c r="AD14" s="1">
        <f t="shared" si="5"/>
        <v>0</v>
      </c>
      <c r="AE14" s="1">
        <f t="shared" si="6"/>
        <v>0</v>
      </c>
      <c r="AF14" s="1">
        <f>IF(C14="Orlov",7.4*Stamoplysninger!$E$15,0)</f>
        <v>0</v>
      </c>
      <c r="AG14" t="str">
        <f>IF(AND(C14="Skema 1",B14="ma"),Arbejdstidsoversigt!$E$44,"")</f>
        <v/>
      </c>
      <c r="AH14" t="str">
        <f>IF(AND(C14="Skema 1",B14="ti"),Arbejdstidsoversigt!$E$45,"")</f>
        <v/>
      </c>
      <c r="AI14">
        <f>IF(AND(C14="Skema 1",B14="on"),Arbejdstidsoversigt!$E$46,"")</f>
        <v>0</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1"/>
        <v>0</v>
      </c>
      <c r="BB14" s="233">
        <f t="shared" si="7"/>
        <v>0</v>
      </c>
      <c r="BC14" s="1">
        <f t="shared" si="22"/>
        <v>0</v>
      </c>
      <c r="BD14" s="1">
        <f t="shared" si="8"/>
        <v>0</v>
      </c>
      <c r="BE14" s="1">
        <f t="shared" si="9"/>
        <v>0</v>
      </c>
      <c r="BF14" s="1">
        <f t="shared" si="10"/>
        <v>0</v>
      </c>
      <c r="BG14" s="214" t="str">
        <f>IF(AND(C14="Skema 1",B14="ma"),Skemaoplysninger!$E$30,"")</f>
        <v/>
      </c>
      <c r="BH14" s="214" t="str">
        <f>IF(AND(C14="Skema 1",B14="ti"),Skemaoplysninger!$F$30,"")</f>
        <v/>
      </c>
      <c r="BI14" s="214">
        <f>IF(AND(C14="Skema 1",B14="on"),Skemaoplysninger!$G$30,"")</f>
        <v>0</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3"/>
        <v>0</v>
      </c>
      <c r="CB14" s="1">
        <f t="shared" si="11"/>
        <v>0</v>
      </c>
      <c r="CC14" s="1">
        <f t="shared" si="12"/>
        <v>0</v>
      </c>
      <c r="CD14" s="214" t="str">
        <f>IF(AND(C14="Skema 1",B14="ma"),Skemaoplysninger!$E$39,"")</f>
        <v/>
      </c>
      <c r="CE14" s="214" t="str">
        <f>IF(AND(C14="Skema 1",B14="ti"),Skemaoplysninger!$F$39,"")</f>
        <v/>
      </c>
      <c r="CF14" s="214">
        <f>IF(AND(C14="Skema 1",B14="on"),Skemaoplysninger!$G$39,"")</f>
        <v>0</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4"/>
        <v>0</v>
      </c>
      <c r="DH14" t="str">
        <f t="shared" si="25"/>
        <v/>
      </c>
      <c r="DI14">
        <f t="shared" si="26"/>
        <v>0</v>
      </c>
      <c r="DJ14">
        <f t="shared" si="27"/>
        <v>0</v>
      </c>
      <c r="DK14" t="str">
        <f t="shared" si="13"/>
        <v/>
      </c>
      <c r="DL14" t="str">
        <f t="shared" si="13"/>
        <v/>
      </c>
      <c r="DM14" t="str">
        <f t="shared" si="13"/>
        <v/>
      </c>
      <c r="DN14" t="str">
        <f>DK14&amp;""&amp;DL14&amp;""&amp;DM14</f>
        <v/>
      </c>
    </row>
    <row r="15" spans="1:118" ht="16" customHeight="1">
      <c r="A15" s="249">
        <f t="shared" si="15"/>
        <v>7</v>
      </c>
      <c r="B15" s="132" t="str">
        <f t="shared" si="0"/>
        <v>to</v>
      </c>
      <c r="C15" s="133" t="s">
        <v>209</v>
      </c>
      <c r="D15" s="134" t="str">
        <f t="shared" si="1"/>
        <v/>
      </c>
      <c r="E15" s="871"/>
      <c r="F15" s="872"/>
      <c r="G15" s="873"/>
      <c r="H15" s="313"/>
      <c r="I15" s="582"/>
      <c r="J15" s="440"/>
      <c r="K15" s="405"/>
      <c r="L15" s="405"/>
      <c r="M15" s="405"/>
      <c r="N15" s="334">
        <f t="shared" si="16"/>
        <v>0</v>
      </c>
      <c r="O15" s="334">
        <f t="shared" si="17"/>
        <v>0</v>
      </c>
      <c r="P15" s="334">
        <f>IF(Stamoplysninger!$H$29="JA",September!DG15,CX15)</f>
        <v>0</v>
      </c>
      <c r="Q15" s="334">
        <f t="shared" si="18"/>
        <v>0</v>
      </c>
      <c r="R15" s="335"/>
      <c r="S15" s="341"/>
      <c r="T15" s="342"/>
      <c r="U15" s="342"/>
      <c r="V15" s="462"/>
      <c r="W15" s="336"/>
      <c r="X15" s="469"/>
      <c r="Y15">
        <f t="shared" si="19"/>
        <v>0</v>
      </c>
      <c r="Z15" s="467">
        <f t="shared" si="20"/>
        <v>0</v>
      </c>
      <c r="AA15" s="1">
        <f t="shared" si="2"/>
        <v>0</v>
      </c>
      <c r="AB15" s="1">
        <f t="shared" si="3"/>
        <v>0</v>
      </c>
      <c r="AC15" s="1">
        <f t="shared" si="4"/>
        <v>0</v>
      </c>
      <c r="AD15" s="1">
        <f t="shared" si="5"/>
        <v>0</v>
      </c>
      <c r="AE15" s="1">
        <f t="shared" si="6"/>
        <v>0</v>
      </c>
      <c r="AF15" s="1">
        <f>IF(C15="Orlov",7.4*Stamoplysninger!$E$15,0)</f>
        <v>0</v>
      </c>
      <c r="AG15" t="str">
        <f>IF(AND(C15="Skema 1",B15="ma"),Arbejdstidsoversigt!$E$44,"")</f>
        <v/>
      </c>
      <c r="AH15" t="str">
        <f>IF(AND(C15="Skema 1",B15="ti"),Arbejdstidsoversigt!$E$45,"")</f>
        <v/>
      </c>
      <c r="AI15" t="str">
        <f>IF(AND(C15="Skema 1",B15="on"),Arbejdstidsoversigt!$E$46,"")</f>
        <v/>
      </c>
      <c r="AJ15">
        <f>IF(AND(C15="Skema 1",B15="to"),Arbejdstidsoversigt!$E$47,"")</f>
        <v>0</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1"/>
        <v>0</v>
      </c>
      <c r="BB15" s="233">
        <f t="shared" si="7"/>
        <v>0</v>
      </c>
      <c r="BC15" s="1">
        <f t="shared" si="22"/>
        <v>0</v>
      </c>
      <c r="BD15" s="1">
        <f t="shared" si="8"/>
        <v>0</v>
      </c>
      <c r="BE15" s="1">
        <f t="shared" si="9"/>
        <v>0</v>
      </c>
      <c r="BF15" s="1">
        <f t="shared" si="10"/>
        <v>0</v>
      </c>
      <c r="BG15" s="214" t="str">
        <f>IF(AND(C15="Skema 1",B15="ma"),Skemaoplysninger!$E$30,"")</f>
        <v/>
      </c>
      <c r="BH15" s="214" t="str">
        <f>IF(AND(C15="Skema 1",B15="ti"),Skemaoplysninger!$F$30,"")</f>
        <v/>
      </c>
      <c r="BI15" s="214" t="str">
        <f>IF(AND(C15="Skema 1",B15="on"),Skemaoplysninger!$G$30,"")</f>
        <v/>
      </c>
      <c r="BJ15" s="214">
        <f>IF(AND(C15="Skema 1",B15="to"),Skemaoplysninger!$H$30,"")</f>
        <v>0</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3"/>
        <v>0</v>
      </c>
      <c r="CB15" s="1">
        <f t="shared" si="11"/>
        <v>0</v>
      </c>
      <c r="CC15" s="1">
        <f t="shared" si="12"/>
        <v>0</v>
      </c>
      <c r="CD15" s="214" t="str">
        <f>IF(AND(C15="Skema 1",B15="ma"),Skemaoplysninger!$E$39,"")</f>
        <v/>
      </c>
      <c r="CE15" s="214" t="str">
        <f>IF(AND(C15="Skema 1",B15="ti"),Skemaoplysninger!$F$39,"")</f>
        <v/>
      </c>
      <c r="CF15" s="214" t="str">
        <f>IF(AND(C15="Skema 1",B15="on"),Skemaoplysninger!$G$39,"")</f>
        <v/>
      </c>
      <c r="CG15" s="214">
        <f>IF(AND(C15="Skema 1",B15="to"),Skemaoplysninger!$H$39,"")</f>
        <v>0</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4"/>
        <v>0</v>
      </c>
      <c r="DH15" t="str">
        <f t="shared" si="25"/>
        <v/>
      </c>
      <c r="DI15">
        <f t="shared" si="26"/>
        <v>0</v>
      </c>
      <c r="DJ15">
        <f t="shared" si="27"/>
        <v>0</v>
      </c>
      <c r="DK15" t="str">
        <f t="shared" si="13"/>
        <v/>
      </c>
      <c r="DL15" t="str">
        <f t="shared" si="13"/>
        <v/>
      </c>
      <c r="DM15" t="str">
        <f t="shared" si="13"/>
        <v/>
      </c>
      <c r="DN15" t="str">
        <f t="shared" ref="DN15:DN38" si="28">DK15&amp;""&amp;DL15&amp;""&amp;DM15</f>
        <v/>
      </c>
    </row>
    <row r="16" spans="1:118">
      <c r="A16" s="249">
        <f t="shared" si="15"/>
        <v>8</v>
      </c>
      <c r="B16" s="132" t="str">
        <f t="shared" si="0"/>
        <v>fr</v>
      </c>
      <c r="C16" s="133" t="s">
        <v>209</v>
      </c>
      <c r="D16" s="134" t="str">
        <f t="shared" si="1"/>
        <v/>
      </c>
      <c r="E16" s="871"/>
      <c r="F16" s="872"/>
      <c r="G16" s="873"/>
      <c r="H16" s="313"/>
      <c r="I16" s="582"/>
      <c r="J16" s="440"/>
      <c r="K16" s="405"/>
      <c r="L16" s="405"/>
      <c r="M16" s="405"/>
      <c r="N16" s="334">
        <f t="shared" si="16"/>
        <v>0</v>
      </c>
      <c r="O16" s="334">
        <f t="shared" si="17"/>
        <v>0</v>
      </c>
      <c r="P16" s="334">
        <f>IF(Stamoplysninger!$H$29="JA",September!DG16,CX16)</f>
        <v>0</v>
      </c>
      <c r="Q16" s="334">
        <f t="shared" si="18"/>
        <v>0</v>
      </c>
      <c r="R16" s="335"/>
      <c r="S16" s="341"/>
      <c r="T16" s="342"/>
      <c r="U16" s="342"/>
      <c r="V16" s="462"/>
      <c r="W16" s="336"/>
      <c r="X16" s="469"/>
      <c r="Y16">
        <f t="shared" si="19"/>
        <v>0</v>
      </c>
      <c r="Z16" s="467">
        <f t="shared" si="20"/>
        <v>0</v>
      </c>
      <c r="AA16" s="1">
        <f t="shared" si="2"/>
        <v>0</v>
      </c>
      <c r="AB16" s="1">
        <f t="shared" si="3"/>
        <v>0</v>
      </c>
      <c r="AC16" s="1">
        <f t="shared" si="4"/>
        <v>0</v>
      </c>
      <c r="AD16" s="1">
        <f t="shared" si="5"/>
        <v>0</v>
      </c>
      <c r="AE16" s="1">
        <f t="shared" si="6"/>
        <v>0</v>
      </c>
      <c r="AF16" s="1">
        <f>IF(C16="Orlov",7.4*Stamoplysninger!$E$15,0)</f>
        <v>0</v>
      </c>
      <c r="AG16" t="str">
        <f>IF(AND(C16="Skema 1",B16="ma"),Arbejdstidsoversigt!$E$44,"")</f>
        <v/>
      </c>
      <c r="AH16" t="str">
        <f>IF(AND(C16="Skema 1",B16="ti"),Arbejdstidsoversigt!$E$45,"")</f>
        <v/>
      </c>
      <c r="AI16" t="str">
        <f>IF(AND(C16="Skema 1",B16="on"),Arbejdstidsoversigt!$E$46,"")</f>
        <v/>
      </c>
      <c r="AJ16" t="str">
        <f>IF(AND(C16="Skema 1",B16="to"),Arbejdstidsoversigt!$E$47,"")</f>
        <v/>
      </c>
      <c r="AK16">
        <f>IF(AND(C16="Skema 1",B16="fr"),Arbejdstidsoversigt!$E$48,"")</f>
        <v>0</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1"/>
        <v>0</v>
      </c>
      <c r="BB16" s="233">
        <f t="shared" si="7"/>
        <v>0</v>
      </c>
      <c r="BC16" s="1">
        <f t="shared" si="22"/>
        <v>0</v>
      </c>
      <c r="BD16" s="1">
        <f t="shared" si="8"/>
        <v>0</v>
      </c>
      <c r="BE16" s="1">
        <f t="shared" si="9"/>
        <v>0</v>
      </c>
      <c r="BF16" s="1">
        <f t="shared" si="10"/>
        <v>0</v>
      </c>
      <c r="BG16" s="214" t="str">
        <f>IF(AND(C16="Skema 1",B16="ma"),Skemaoplysninger!$E$30,"")</f>
        <v/>
      </c>
      <c r="BH16" s="214" t="str">
        <f>IF(AND(C16="Skema 1",B16="ti"),Skemaoplysninger!$F$30,"")</f>
        <v/>
      </c>
      <c r="BI16" s="214" t="str">
        <f>IF(AND(C16="Skema 1",B16="on"),Skemaoplysninger!$G$30,"")</f>
        <v/>
      </c>
      <c r="BJ16" s="214" t="str">
        <f>IF(AND(C16="Skema 1",B16="to"),Skemaoplysninger!$H$30,"")</f>
        <v/>
      </c>
      <c r="BK16" s="214">
        <f>IF(AND(C16="Skema 1",B16="fr"),Skemaoplysninger!$I$30,"")</f>
        <v>0</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3"/>
        <v>0</v>
      </c>
      <c r="CB16" s="1">
        <f t="shared" si="11"/>
        <v>0</v>
      </c>
      <c r="CC16" s="1">
        <f t="shared" si="12"/>
        <v>0</v>
      </c>
      <c r="CD16" s="214" t="str">
        <f>IF(AND(C16="Skema 1",B16="ma"),Skemaoplysninger!$E$39,"")</f>
        <v/>
      </c>
      <c r="CE16" s="214" t="str">
        <f>IF(AND(C16="Skema 1",B16="ti"),Skemaoplysninger!$F$39,"")</f>
        <v/>
      </c>
      <c r="CF16" s="214" t="str">
        <f>IF(AND(C16="Skema 1",B16="on"),Skemaoplysninger!$G$39,"")</f>
        <v/>
      </c>
      <c r="CG16" s="214" t="str">
        <f>IF(AND(C16="Skema 1",B16="to"),Skemaoplysninger!$H$39,"")</f>
        <v/>
      </c>
      <c r="CH16" s="214">
        <f>IF(AND(C16="Skema 1",B16="fr"),Skemaoplysninger!$I$39,"")</f>
        <v>0</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4"/>
        <v>0</v>
      </c>
      <c r="DH16" t="str">
        <f t="shared" si="25"/>
        <v/>
      </c>
      <c r="DI16">
        <f t="shared" si="26"/>
        <v>0</v>
      </c>
      <c r="DJ16">
        <f t="shared" si="27"/>
        <v>0</v>
      </c>
      <c r="DK16" t="str">
        <f t="shared" si="13"/>
        <v/>
      </c>
      <c r="DL16" t="str">
        <f t="shared" si="13"/>
        <v/>
      </c>
      <c r="DM16" t="str">
        <f t="shared" si="13"/>
        <v/>
      </c>
      <c r="DN16" t="str">
        <f t="shared" si="28"/>
        <v/>
      </c>
    </row>
    <row r="17" spans="1:118">
      <c r="A17" s="249">
        <f t="shared" si="15"/>
        <v>9</v>
      </c>
      <c r="B17" s="132" t="str">
        <f t="shared" si="0"/>
        <v>lø</v>
      </c>
      <c r="C17" s="133" t="s">
        <v>121</v>
      </c>
      <c r="D17" s="134" t="str">
        <f t="shared" si="1"/>
        <v/>
      </c>
      <c r="E17" s="871"/>
      <c r="F17" s="872"/>
      <c r="G17" s="873"/>
      <c r="H17" s="313"/>
      <c r="I17" s="440"/>
      <c r="J17" s="440"/>
      <c r="K17" s="405"/>
      <c r="L17" s="405"/>
      <c r="M17" s="405"/>
      <c r="N17" s="334">
        <f t="shared" si="16"/>
        <v>0</v>
      </c>
      <c r="O17" s="334">
        <f t="shared" si="17"/>
        <v>0</v>
      </c>
      <c r="P17" s="334">
        <f>IF(Stamoplysninger!$H$29="JA",September!DG17,CX17)</f>
        <v>0</v>
      </c>
      <c r="Q17" s="334">
        <f t="shared" si="18"/>
        <v>0</v>
      </c>
      <c r="R17" s="335"/>
      <c r="S17" s="341"/>
      <c r="T17" s="342"/>
      <c r="U17" s="342"/>
      <c r="V17" s="462"/>
      <c r="W17" s="336"/>
      <c r="X17" s="469"/>
      <c r="Y17">
        <f t="shared" si="19"/>
        <v>0</v>
      </c>
      <c r="Z17" s="467">
        <f t="shared" si="20"/>
        <v>0</v>
      </c>
      <c r="AA17" s="1">
        <f t="shared" si="2"/>
        <v>0</v>
      </c>
      <c r="AB17" s="1">
        <f t="shared" si="3"/>
        <v>0</v>
      </c>
      <c r="AC17" s="1">
        <f t="shared" si="4"/>
        <v>0</v>
      </c>
      <c r="AD17" s="1">
        <f t="shared" si="5"/>
        <v>0</v>
      </c>
      <c r="AE17" s="1">
        <f t="shared" si="6"/>
        <v>0</v>
      </c>
      <c r="AF17" s="1">
        <f>IF(C17="Orlov",7.4*Stamoplysninger!$E$15,0)</f>
        <v>0</v>
      </c>
      <c r="AG17" t="str">
        <f>IF(AND(C17="Skema 1",B17="ma"),Arbejdstidsoversigt!$E$44,"")</f>
        <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1"/>
        <v>0</v>
      </c>
      <c r="BB17" s="233">
        <f t="shared" si="7"/>
        <v>0</v>
      </c>
      <c r="BC17" s="1">
        <f t="shared" si="22"/>
        <v>0</v>
      </c>
      <c r="BD17" s="1">
        <f t="shared" si="8"/>
        <v>0</v>
      </c>
      <c r="BE17" s="1">
        <f t="shared" si="9"/>
        <v>0</v>
      </c>
      <c r="BF17" s="1">
        <f t="shared" si="10"/>
        <v>0</v>
      </c>
      <c r="BG17" s="214" t="str">
        <f>IF(AND(C17="Skema 1",B17="ma"),Skemaoplysninger!$E$30,"")</f>
        <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3"/>
        <v>0</v>
      </c>
      <c r="CB17" s="1">
        <f t="shared" si="11"/>
        <v>0</v>
      </c>
      <c r="CC17" s="1">
        <f t="shared" si="12"/>
        <v>0</v>
      </c>
      <c r="CD17" s="214" t="str">
        <f>IF(AND(C17="Skema 1",B17="ma"),Skemaoplysninger!$E$39,"")</f>
        <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4"/>
        <v>0</v>
      </c>
      <c r="DH17" t="str">
        <f t="shared" si="25"/>
        <v/>
      </c>
      <c r="DI17">
        <f t="shared" si="26"/>
        <v>0</v>
      </c>
      <c r="DJ17">
        <f t="shared" si="27"/>
        <v>0</v>
      </c>
      <c r="DK17" t="str">
        <f t="shared" si="13"/>
        <v/>
      </c>
      <c r="DL17" t="str">
        <f t="shared" si="13"/>
        <v/>
      </c>
      <c r="DM17" t="str">
        <f t="shared" si="13"/>
        <v/>
      </c>
      <c r="DN17" t="str">
        <f t="shared" si="28"/>
        <v/>
      </c>
    </row>
    <row r="18" spans="1:118">
      <c r="A18" s="249">
        <f t="shared" si="15"/>
        <v>10</v>
      </c>
      <c r="B18" s="132" t="str">
        <f t="shared" si="0"/>
        <v>sø</v>
      </c>
      <c r="C18" s="133" t="s">
        <v>121</v>
      </c>
      <c r="D18" s="134" t="str">
        <f t="shared" si="1"/>
        <v/>
      </c>
      <c r="E18" s="871"/>
      <c r="F18" s="872"/>
      <c r="G18" s="873"/>
      <c r="H18" s="313"/>
      <c r="I18" s="440"/>
      <c r="J18" s="440"/>
      <c r="K18" s="405"/>
      <c r="L18" s="405"/>
      <c r="M18" s="405"/>
      <c r="N18" s="334">
        <f t="shared" si="16"/>
        <v>0</v>
      </c>
      <c r="O18" s="334">
        <f t="shared" si="17"/>
        <v>0</v>
      </c>
      <c r="P18" s="334">
        <f>IF(Stamoplysninger!$H$29="JA",September!DG18,CX18)</f>
        <v>0</v>
      </c>
      <c r="Q18" s="334">
        <f t="shared" si="18"/>
        <v>0</v>
      </c>
      <c r="R18" s="335"/>
      <c r="S18" s="341"/>
      <c r="T18" s="342"/>
      <c r="U18" s="342"/>
      <c r="V18" s="462"/>
      <c r="W18" s="336"/>
      <c r="X18" s="469"/>
      <c r="Y18">
        <f t="shared" si="19"/>
        <v>0</v>
      </c>
      <c r="Z18" s="467">
        <f t="shared" si="20"/>
        <v>0</v>
      </c>
      <c r="AA18" s="1">
        <f t="shared" si="2"/>
        <v>0</v>
      </c>
      <c r="AB18" s="1">
        <f t="shared" si="3"/>
        <v>0</v>
      </c>
      <c r="AC18" s="1">
        <f t="shared" si="4"/>
        <v>0</v>
      </c>
      <c r="AD18" s="1">
        <f t="shared" si="5"/>
        <v>0</v>
      </c>
      <c r="AE18" s="1">
        <f t="shared" si="6"/>
        <v>0</v>
      </c>
      <c r="AF18" s="1">
        <f>IF(C18="Orlov",7.4*Stamoplysninger!$E$15,0)</f>
        <v>0</v>
      </c>
      <c r="AG18" t="str">
        <f>IF(AND(C18="Skema 1",B18="ma"),Arbejdstidsoversigt!$E$44,"")</f>
        <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1"/>
        <v>0</v>
      </c>
      <c r="BB18" s="233">
        <f t="shared" si="7"/>
        <v>0</v>
      </c>
      <c r="BC18" s="1">
        <f t="shared" si="22"/>
        <v>0</v>
      </c>
      <c r="BD18" s="1">
        <f t="shared" si="8"/>
        <v>0</v>
      </c>
      <c r="BE18" s="1">
        <f t="shared" si="9"/>
        <v>0</v>
      </c>
      <c r="BF18" s="1">
        <f t="shared" si="10"/>
        <v>0</v>
      </c>
      <c r="BG18" s="214" t="str">
        <f>IF(AND(C18="Skema 1",B18="ma"),Skemaoplysninger!$E$30,"")</f>
        <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3"/>
        <v>0</v>
      </c>
      <c r="CB18" s="1">
        <f t="shared" si="11"/>
        <v>0</v>
      </c>
      <c r="CC18" s="1">
        <f t="shared" si="12"/>
        <v>0</v>
      </c>
      <c r="CD18" s="214" t="str">
        <f>IF(AND(C18="Skema 1",B18="ma"),Skemaoplysninger!$E$39,"")</f>
        <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4"/>
        <v>0</v>
      </c>
      <c r="DH18" t="str">
        <f t="shared" si="25"/>
        <v/>
      </c>
      <c r="DI18">
        <f t="shared" si="26"/>
        <v>0</v>
      </c>
      <c r="DJ18">
        <f t="shared" si="27"/>
        <v>0</v>
      </c>
      <c r="DK18" t="str">
        <f t="shared" si="13"/>
        <v/>
      </c>
      <c r="DL18" t="str">
        <f t="shared" si="13"/>
        <v/>
      </c>
      <c r="DM18" t="str">
        <f t="shared" si="13"/>
        <v/>
      </c>
      <c r="DN18" t="str">
        <f t="shared" si="28"/>
        <v/>
      </c>
    </row>
    <row r="19" spans="1:118">
      <c r="A19" s="249">
        <f t="shared" si="15"/>
        <v>11</v>
      </c>
      <c r="B19" s="132" t="str">
        <f t="shared" si="0"/>
        <v>ma</v>
      </c>
      <c r="C19" s="133" t="s">
        <v>209</v>
      </c>
      <c r="D19" s="134">
        <f t="shared" si="1"/>
        <v>37.142857142857146</v>
      </c>
      <c r="E19" s="871"/>
      <c r="F19" s="872"/>
      <c r="G19" s="873"/>
      <c r="H19" s="313"/>
      <c r="I19" s="582"/>
      <c r="J19" s="440"/>
      <c r="K19" s="405"/>
      <c r="L19" s="405"/>
      <c r="M19" s="405"/>
      <c r="N19" s="334">
        <f t="shared" si="16"/>
        <v>0</v>
      </c>
      <c r="O19" s="334">
        <f t="shared" si="17"/>
        <v>0</v>
      </c>
      <c r="P19" s="334">
        <f>IF(Stamoplysninger!$H$29="JA",September!DG19,CX19)</f>
        <v>0</v>
      </c>
      <c r="Q19" s="334">
        <f t="shared" si="18"/>
        <v>0</v>
      </c>
      <c r="R19" s="335"/>
      <c r="S19" s="341"/>
      <c r="T19" s="342"/>
      <c r="U19" s="342"/>
      <c r="V19" s="462"/>
      <c r="W19" s="336"/>
      <c r="X19" s="469"/>
      <c r="Y19">
        <f t="shared" si="19"/>
        <v>0</v>
      </c>
      <c r="Z19" s="467">
        <f t="shared" si="20"/>
        <v>0</v>
      </c>
      <c r="AA19" s="1">
        <f t="shared" si="2"/>
        <v>0</v>
      </c>
      <c r="AB19" s="1">
        <f t="shared" si="3"/>
        <v>0</v>
      </c>
      <c r="AC19" s="1">
        <f t="shared" si="4"/>
        <v>0</v>
      </c>
      <c r="AD19" s="1">
        <f t="shared" si="5"/>
        <v>0</v>
      </c>
      <c r="AE19" s="1">
        <f t="shared" si="6"/>
        <v>0</v>
      </c>
      <c r="AF19" s="1">
        <f>IF(C19="Orlov",7.4*Stamoplysninger!$E$15,0)</f>
        <v>0</v>
      </c>
      <c r="AG19">
        <f>IF(AND(C19="Skema 1",B19="ma"),Arbejdstidsoversigt!$E$44,"")</f>
        <v>0</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1"/>
        <v>0</v>
      </c>
      <c r="BB19" s="233">
        <f t="shared" si="7"/>
        <v>0</v>
      </c>
      <c r="BC19" s="1">
        <f t="shared" si="22"/>
        <v>0</v>
      </c>
      <c r="BD19" s="1">
        <f t="shared" si="8"/>
        <v>0</v>
      </c>
      <c r="BE19" s="1">
        <f t="shared" si="9"/>
        <v>0</v>
      </c>
      <c r="BF19" s="1">
        <f t="shared" si="10"/>
        <v>0</v>
      </c>
      <c r="BG19" s="214">
        <f>IF(AND(C19="Skema 1",B19="ma"),Skemaoplysninger!$E$30,"")</f>
        <v>0</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3"/>
        <v>0</v>
      </c>
      <c r="CB19" s="1">
        <f t="shared" si="11"/>
        <v>0</v>
      </c>
      <c r="CC19" s="1">
        <f t="shared" si="12"/>
        <v>0</v>
      </c>
      <c r="CD19" s="214">
        <f>IF(AND(C19="Skema 1",B19="ma"),Skemaoplysninger!$E$39,"")</f>
        <v>0</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4"/>
        <v>0</v>
      </c>
      <c r="DH19" t="str">
        <f t="shared" si="25"/>
        <v/>
      </c>
      <c r="DI19">
        <f t="shared" si="26"/>
        <v>0</v>
      </c>
      <c r="DJ19">
        <f t="shared" si="27"/>
        <v>0</v>
      </c>
      <c r="DK19" t="str">
        <f t="shared" si="13"/>
        <v/>
      </c>
      <c r="DL19" t="str">
        <f t="shared" si="13"/>
        <v/>
      </c>
      <c r="DM19" t="str">
        <f t="shared" si="13"/>
        <v/>
      </c>
      <c r="DN19" t="str">
        <f t="shared" si="28"/>
        <v/>
      </c>
    </row>
    <row r="20" spans="1:118">
      <c r="A20" s="249">
        <f>IF(ISNUMBER(A19),A19+1,1)</f>
        <v>12</v>
      </c>
      <c r="B20" s="132" t="str">
        <f t="shared" si="0"/>
        <v>ti</v>
      </c>
      <c r="C20" s="133" t="s">
        <v>209</v>
      </c>
      <c r="D20" s="134" t="str">
        <f t="shared" si="1"/>
        <v/>
      </c>
      <c r="E20" s="871"/>
      <c r="F20" s="872"/>
      <c r="G20" s="873"/>
      <c r="H20" s="313"/>
      <c r="I20" s="582"/>
      <c r="J20" s="440"/>
      <c r="K20" s="405"/>
      <c r="L20" s="405"/>
      <c r="M20" s="405"/>
      <c r="N20" s="334">
        <f t="shared" si="16"/>
        <v>0</v>
      </c>
      <c r="O20" s="334">
        <f t="shared" si="17"/>
        <v>0</v>
      </c>
      <c r="P20" s="334">
        <f>IF(Stamoplysninger!$H$29="JA",September!DG20,CX20)</f>
        <v>0</v>
      </c>
      <c r="Q20" s="334">
        <f t="shared" si="18"/>
        <v>0</v>
      </c>
      <c r="R20" s="335"/>
      <c r="S20" s="341"/>
      <c r="T20" s="342"/>
      <c r="U20" s="342"/>
      <c r="V20" s="462"/>
      <c r="W20" s="336"/>
      <c r="X20" s="469"/>
      <c r="Y20">
        <f t="shared" si="19"/>
        <v>0</v>
      </c>
      <c r="Z20" s="467">
        <f t="shared" si="20"/>
        <v>0</v>
      </c>
      <c r="AA20" s="1">
        <f t="shared" si="2"/>
        <v>0</v>
      </c>
      <c r="AB20" s="1">
        <f t="shared" si="3"/>
        <v>0</v>
      </c>
      <c r="AC20" s="1">
        <f t="shared" si="4"/>
        <v>0</v>
      </c>
      <c r="AD20" s="1">
        <f t="shared" si="5"/>
        <v>0</v>
      </c>
      <c r="AE20" s="1">
        <f t="shared" si="6"/>
        <v>0</v>
      </c>
      <c r="AF20" s="1">
        <f>IF(C20="Orlov",7.4*Stamoplysninger!$E$15,0)</f>
        <v>0</v>
      </c>
      <c r="AG20" t="str">
        <f>IF(AND(C20="Skema 1",B20="ma"),Arbejdstidsoversigt!$E$44,"")</f>
        <v/>
      </c>
      <c r="AH20">
        <f>IF(AND(C20="Skema 1",B20="ti"),Arbejdstidsoversigt!$E$45,"")</f>
        <v>0</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1"/>
        <v>0</v>
      </c>
      <c r="BB20" s="233">
        <f t="shared" si="7"/>
        <v>0</v>
      </c>
      <c r="BC20" s="1">
        <f t="shared" si="22"/>
        <v>0</v>
      </c>
      <c r="BD20" s="1">
        <f t="shared" si="8"/>
        <v>0</v>
      </c>
      <c r="BE20" s="1">
        <f t="shared" si="9"/>
        <v>0</v>
      </c>
      <c r="BF20" s="1">
        <f t="shared" si="10"/>
        <v>0</v>
      </c>
      <c r="BG20" s="214" t="str">
        <f>IF(AND(C20="Skema 1",B20="ma"),Skemaoplysninger!$E$30,"")</f>
        <v/>
      </c>
      <c r="BH20" s="214">
        <f>IF(AND(C20="Skema 1",B20="ti"),Skemaoplysninger!$F$30,"")</f>
        <v>0</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3"/>
        <v>0</v>
      </c>
      <c r="CB20" s="1">
        <f t="shared" si="11"/>
        <v>0</v>
      </c>
      <c r="CC20" s="1">
        <f t="shared" si="12"/>
        <v>0</v>
      </c>
      <c r="CD20" s="214" t="str">
        <f>IF(AND(C20="Skema 1",B20="ma"),Skemaoplysninger!$E$39,"")</f>
        <v/>
      </c>
      <c r="CE20" s="214">
        <f>IF(AND(C20="Skema 1",B20="ti"),Skemaoplysninger!$F$39,"")</f>
        <v>0</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4"/>
        <v>0</v>
      </c>
      <c r="DH20" t="str">
        <f t="shared" si="25"/>
        <v/>
      </c>
      <c r="DI20">
        <f t="shared" si="26"/>
        <v>0</v>
      </c>
      <c r="DJ20">
        <f t="shared" si="27"/>
        <v>0</v>
      </c>
      <c r="DK20" t="str">
        <f t="shared" si="13"/>
        <v/>
      </c>
      <c r="DL20" t="str">
        <f t="shared" si="13"/>
        <v/>
      </c>
      <c r="DM20" t="str">
        <f t="shared" si="13"/>
        <v/>
      </c>
      <c r="DN20" t="str">
        <f t="shared" si="28"/>
        <v/>
      </c>
    </row>
    <row r="21" spans="1:118">
      <c r="A21" s="249">
        <f>IF(ISNUMBER(A20),A20+1,1)</f>
        <v>13</v>
      </c>
      <c r="B21" s="132" t="str">
        <f t="shared" si="0"/>
        <v>on</v>
      </c>
      <c r="C21" s="133" t="s">
        <v>209</v>
      </c>
      <c r="D21" s="134" t="str">
        <f t="shared" si="1"/>
        <v/>
      </c>
      <c r="E21" s="868"/>
      <c r="F21" s="869"/>
      <c r="G21" s="870"/>
      <c r="H21" s="312"/>
      <c r="I21" s="582"/>
      <c r="J21" s="440"/>
      <c r="K21" s="405"/>
      <c r="L21" s="405"/>
      <c r="M21" s="405"/>
      <c r="N21" s="334">
        <f t="shared" si="16"/>
        <v>0</v>
      </c>
      <c r="O21" s="334">
        <f t="shared" si="17"/>
        <v>0</v>
      </c>
      <c r="P21" s="334">
        <f>IF(Stamoplysninger!$H$29="JA",September!DG21,CX21)</f>
        <v>0</v>
      </c>
      <c r="Q21" s="334">
        <f t="shared" si="18"/>
        <v>0</v>
      </c>
      <c r="R21" s="335"/>
      <c r="S21" s="341"/>
      <c r="T21" s="342"/>
      <c r="U21" s="342"/>
      <c r="V21" s="462"/>
      <c r="W21" s="336"/>
      <c r="X21" s="469"/>
      <c r="Y21">
        <f t="shared" si="19"/>
        <v>0</v>
      </c>
      <c r="Z21" s="467">
        <f t="shared" si="20"/>
        <v>0</v>
      </c>
      <c r="AA21" s="1">
        <f t="shared" si="2"/>
        <v>0</v>
      </c>
      <c r="AB21" s="1">
        <f t="shared" si="3"/>
        <v>0</v>
      </c>
      <c r="AC21" s="1">
        <f t="shared" si="4"/>
        <v>0</v>
      </c>
      <c r="AD21" s="1">
        <f t="shared" si="5"/>
        <v>0</v>
      </c>
      <c r="AE21" s="1">
        <f t="shared" si="6"/>
        <v>0</v>
      </c>
      <c r="AF21" s="1">
        <f>IF(C21="Orlov",7.4*Stamoplysninger!$E$15,0)</f>
        <v>0</v>
      </c>
      <c r="AG21" t="str">
        <f>IF(AND(C21="Skema 1",B21="ma"),Arbejdstidsoversigt!$E$44,"")</f>
        <v/>
      </c>
      <c r="AH21" t="str">
        <f>IF(AND(C21="Skema 1",B21="ti"),Arbejdstidsoversigt!$E$45,"")</f>
        <v/>
      </c>
      <c r="AI21">
        <f>IF(AND(C21="Skema 1",B21="on"),Arbejdstidsoversigt!$E$46,"")</f>
        <v>0</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1"/>
        <v>0</v>
      </c>
      <c r="BB21" s="233">
        <f t="shared" si="7"/>
        <v>0</v>
      </c>
      <c r="BC21" s="1">
        <f t="shared" si="22"/>
        <v>0</v>
      </c>
      <c r="BD21" s="1">
        <f t="shared" si="8"/>
        <v>0</v>
      </c>
      <c r="BE21" s="1">
        <f t="shared" si="9"/>
        <v>0</v>
      </c>
      <c r="BF21" s="1">
        <f t="shared" si="10"/>
        <v>0</v>
      </c>
      <c r="BG21" s="214" t="str">
        <f>IF(AND(C21="Skema 1",B21="ma"),Skemaoplysninger!$E$30,"")</f>
        <v/>
      </c>
      <c r="BH21" s="214" t="str">
        <f>IF(AND(C21="Skema 1",B21="ti"),Skemaoplysninger!$F$30,"")</f>
        <v/>
      </c>
      <c r="BI21" s="214">
        <f>IF(AND(C21="Skema 1",B21="on"),Skemaoplysninger!$G$30,"")</f>
        <v>0</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3"/>
        <v>0</v>
      </c>
      <c r="CB21" s="1">
        <f t="shared" si="11"/>
        <v>0</v>
      </c>
      <c r="CC21" s="1">
        <f t="shared" si="12"/>
        <v>0</v>
      </c>
      <c r="CD21" s="214" t="str">
        <f>IF(AND(C21="Skema 1",B21="ma"),Skemaoplysninger!$E$39,"")</f>
        <v/>
      </c>
      <c r="CE21" s="214" t="str">
        <f>IF(AND(C21="Skema 1",B21="ti"),Skemaoplysninger!$F$39,"")</f>
        <v/>
      </c>
      <c r="CF21" s="214">
        <f>IF(AND(C21="Skema 1",B21="on"),Skemaoplysninger!$G$39,"")</f>
        <v>0</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4"/>
        <v>0</v>
      </c>
      <c r="DH21" t="str">
        <f t="shared" si="25"/>
        <v/>
      </c>
      <c r="DI21">
        <f t="shared" si="26"/>
        <v>0</v>
      </c>
      <c r="DJ21">
        <f t="shared" si="27"/>
        <v>0</v>
      </c>
      <c r="DK21" t="str">
        <f t="shared" si="13"/>
        <v/>
      </c>
      <c r="DL21" t="str">
        <f t="shared" si="13"/>
        <v/>
      </c>
      <c r="DM21" t="str">
        <f t="shared" si="13"/>
        <v/>
      </c>
      <c r="DN21" t="str">
        <f t="shared" si="28"/>
        <v/>
      </c>
    </row>
    <row r="22" spans="1:118">
      <c r="A22" s="249">
        <f t="shared" si="15"/>
        <v>14</v>
      </c>
      <c r="B22" s="132" t="str">
        <f t="shared" si="0"/>
        <v>to</v>
      </c>
      <c r="C22" s="133" t="s">
        <v>209</v>
      </c>
      <c r="D22" s="134" t="str">
        <f t="shared" si="1"/>
        <v/>
      </c>
      <c r="E22" s="868"/>
      <c r="F22" s="869"/>
      <c r="G22" s="870"/>
      <c r="H22" s="312"/>
      <c r="I22" s="582"/>
      <c r="J22" s="440"/>
      <c r="K22" s="405"/>
      <c r="L22" s="405"/>
      <c r="M22" s="405"/>
      <c r="N22" s="334">
        <f t="shared" si="16"/>
        <v>0</v>
      </c>
      <c r="O22" s="334">
        <f t="shared" si="17"/>
        <v>0</v>
      </c>
      <c r="P22" s="334">
        <f>IF(Stamoplysninger!$H$29="JA",September!DG22,CX22)</f>
        <v>0</v>
      </c>
      <c r="Q22" s="334">
        <f t="shared" si="18"/>
        <v>0</v>
      </c>
      <c r="R22" s="335"/>
      <c r="S22" s="341"/>
      <c r="T22" s="342"/>
      <c r="U22" s="342"/>
      <c r="V22" s="462"/>
      <c r="W22" s="336"/>
      <c r="X22" s="469"/>
      <c r="Y22">
        <f t="shared" si="19"/>
        <v>0</v>
      </c>
      <c r="Z22" s="467">
        <f t="shared" si="20"/>
        <v>0</v>
      </c>
      <c r="AA22" s="1">
        <f t="shared" si="2"/>
        <v>0</v>
      </c>
      <c r="AB22" s="1">
        <f t="shared" si="3"/>
        <v>0</v>
      </c>
      <c r="AC22" s="1">
        <f t="shared" si="4"/>
        <v>0</v>
      </c>
      <c r="AD22" s="1">
        <f t="shared" si="5"/>
        <v>0</v>
      </c>
      <c r="AE22" s="1">
        <f t="shared" si="6"/>
        <v>0</v>
      </c>
      <c r="AF22" s="1">
        <f>IF(C22="Orlov",7.4*Stamoplysninger!$E$15,0)</f>
        <v>0</v>
      </c>
      <c r="AG22" t="str">
        <f>IF(AND(C22="Skema 1",B22="ma"),Arbejdstidsoversigt!$E$44,"")</f>
        <v/>
      </c>
      <c r="AH22" t="str">
        <f>IF(AND(C22="Skema 1",B22="ti"),Arbejdstidsoversigt!$E$45,"")</f>
        <v/>
      </c>
      <c r="AI22" t="str">
        <f>IF(AND(C22="Skema 1",B22="on"),Arbejdstidsoversigt!$E$46,"")</f>
        <v/>
      </c>
      <c r="AJ22">
        <f>IF(AND(C22="Skema 1",B22="to"),Arbejdstidsoversigt!$E$47,"")</f>
        <v>0</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1"/>
        <v>0</v>
      </c>
      <c r="BB22" s="233">
        <f t="shared" si="7"/>
        <v>0</v>
      </c>
      <c r="BC22" s="1">
        <f t="shared" si="22"/>
        <v>0</v>
      </c>
      <c r="BD22" s="1">
        <f t="shared" si="8"/>
        <v>0</v>
      </c>
      <c r="BE22" s="1">
        <f t="shared" si="9"/>
        <v>0</v>
      </c>
      <c r="BF22" s="1">
        <f t="shared" si="10"/>
        <v>0</v>
      </c>
      <c r="BG22" s="214" t="str">
        <f>IF(AND(C22="Skema 1",B22="ma"),Skemaoplysninger!$E$30,"")</f>
        <v/>
      </c>
      <c r="BH22" s="214" t="str">
        <f>IF(AND(C22="Skema 1",B22="ti"),Skemaoplysninger!$F$30,"")</f>
        <v/>
      </c>
      <c r="BI22" s="214" t="str">
        <f>IF(AND(C22="Skema 1",B22="on"),Skemaoplysninger!$G$30,"")</f>
        <v/>
      </c>
      <c r="BJ22" s="214">
        <f>IF(AND(C22="Skema 1",B22="to"),Skemaoplysninger!$H$30,"")</f>
        <v>0</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3"/>
        <v>0</v>
      </c>
      <c r="CB22" s="1">
        <f t="shared" si="11"/>
        <v>0</v>
      </c>
      <c r="CC22" s="1">
        <f t="shared" si="12"/>
        <v>0</v>
      </c>
      <c r="CD22" s="214" t="str">
        <f>IF(AND(C22="Skema 1",B22="ma"),Skemaoplysninger!$E$39,"")</f>
        <v/>
      </c>
      <c r="CE22" s="214" t="str">
        <f>IF(AND(C22="Skema 1",B22="ti"),Skemaoplysninger!$F$39,"")</f>
        <v/>
      </c>
      <c r="CF22" s="214" t="str">
        <f>IF(AND(C22="Skema 1",B22="on"),Skemaoplysninger!$G$39,"")</f>
        <v/>
      </c>
      <c r="CG22" s="214">
        <f>IF(AND(C22="Skema 1",B22="to"),Skemaoplysninger!$H$39,"")</f>
        <v>0</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4"/>
        <v>0</v>
      </c>
      <c r="DH22" t="str">
        <f t="shared" si="25"/>
        <v/>
      </c>
      <c r="DI22">
        <f t="shared" si="26"/>
        <v>0</v>
      </c>
      <c r="DJ22">
        <f t="shared" si="27"/>
        <v>0</v>
      </c>
      <c r="DK22" t="str">
        <f t="shared" si="13"/>
        <v/>
      </c>
      <c r="DL22" t="str">
        <f t="shared" si="13"/>
        <v/>
      </c>
      <c r="DM22" t="str">
        <f t="shared" si="13"/>
        <v/>
      </c>
      <c r="DN22" t="str">
        <f t="shared" si="28"/>
        <v/>
      </c>
    </row>
    <row r="23" spans="1:118">
      <c r="A23" s="249">
        <f t="shared" si="15"/>
        <v>15</v>
      </c>
      <c r="B23" s="132" t="str">
        <f t="shared" si="0"/>
        <v>fr</v>
      </c>
      <c r="C23" s="133" t="s">
        <v>209</v>
      </c>
      <c r="D23" s="134" t="str">
        <f t="shared" si="1"/>
        <v/>
      </c>
      <c r="E23" s="868"/>
      <c r="F23" s="869"/>
      <c r="G23" s="870"/>
      <c r="H23" s="312"/>
      <c r="I23" s="582"/>
      <c r="J23" s="440"/>
      <c r="K23" s="405"/>
      <c r="L23" s="405"/>
      <c r="M23" s="405"/>
      <c r="N23" s="334">
        <f t="shared" si="16"/>
        <v>0</v>
      </c>
      <c r="O23" s="334">
        <f t="shared" si="17"/>
        <v>0</v>
      </c>
      <c r="P23" s="334">
        <f>IF(Stamoplysninger!$H$29="JA",September!DG23,CX23)</f>
        <v>0</v>
      </c>
      <c r="Q23" s="334">
        <f t="shared" si="18"/>
        <v>0</v>
      </c>
      <c r="R23" s="335"/>
      <c r="S23" s="341"/>
      <c r="T23" s="342"/>
      <c r="U23" s="342"/>
      <c r="V23" s="462"/>
      <c r="W23" s="336"/>
      <c r="X23" s="469"/>
      <c r="Y23">
        <f t="shared" si="19"/>
        <v>0</v>
      </c>
      <c r="Z23" s="467">
        <f t="shared" si="20"/>
        <v>0</v>
      </c>
      <c r="AA23" s="1">
        <f t="shared" si="2"/>
        <v>0</v>
      </c>
      <c r="AB23" s="1">
        <f t="shared" si="3"/>
        <v>0</v>
      </c>
      <c r="AC23" s="1">
        <f t="shared" si="4"/>
        <v>0</v>
      </c>
      <c r="AD23" s="1">
        <f t="shared" si="5"/>
        <v>0</v>
      </c>
      <c r="AE23" s="1">
        <f t="shared" si="6"/>
        <v>0</v>
      </c>
      <c r="AF23" s="1">
        <f>IF(C23="Orlov",7.4*Stamoplysninger!$E$15,0)</f>
        <v>0</v>
      </c>
      <c r="AG23" t="str">
        <f>IF(AND(C23="Skema 1",B23="ma"),Arbejdstidsoversigt!$E$44,"")</f>
        <v/>
      </c>
      <c r="AH23" t="str">
        <f>IF(AND(C23="Skema 1",B23="ti"),Arbejdstidsoversigt!$E$45,"")</f>
        <v/>
      </c>
      <c r="AI23" t="str">
        <f>IF(AND(C23="Skema 1",B23="on"),Arbejdstidsoversigt!$E$46,"")</f>
        <v/>
      </c>
      <c r="AJ23" t="str">
        <f>IF(AND(C23="Skema 1",B23="to"),Arbejdstidsoversigt!$E$47,"")</f>
        <v/>
      </c>
      <c r="AK23">
        <f>IF(AND(C23="Skema 1",B23="fr"),Arbejdstidsoversigt!$E$48,"")</f>
        <v>0</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1"/>
        <v>0</v>
      </c>
      <c r="BB23" s="233">
        <f t="shared" si="7"/>
        <v>0</v>
      </c>
      <c r="BC23" s="1">
        <f t="shared" si="22"/>
        <v>0</v>
      </c>
      <c r="BD23" s="1">
        <f t="shared" si="8"/>
        <v>0</v>
      </c>
      <c r="BE23" s="1">
        <f t="shared" si="9"/>
        <v>0</v>
      </c>
      <c r="BF23" s="1">
        <f t="shared" si="10"/>
        <v>0</v>
      </c>
      <c r="BG23" s="214" t="str">
        <f>IF(AND(C23="Skema 1",B23="ma"),Skemaoplysninger!$E$30,"")</f>
        <v/>
      </c>
      <c r="BH23" s="214" t="str">
        <f>IF(AND(C23="Skema 1",B23="ti"),Skemaoplysninger!$F$30,"")</f>
        <v/>
      </c>
      <c r="BI23" s="214" t="str">
        <f>IF(AND(C23="Skema 1",B23="on"),Skemaoplysninger!$G$30,"")</f>
        <v/>
      </c>
      <c r="BJ23" s="214" t="str">
        <f>IF(AND(C23="Skema 1",B23="to"),Skemaoplysninger!$H$30,"")</f>
        <v/>
      </c>
      <c r="BK23" s="214">
        <f>IF(AND(C23="Skema 1",B23="fr"),Skemaoplysninger!$I$30,"")</f>
        <v>0</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3"/>
        <v>0</v>
      </c>
      <c r="CB23" s="1">
        <f t="shared" si="11"/>
        <v>0</v>
      </c>
      <c r="CC23" s="1">
        <f t="shared" si="12"/>
        <v>0</v>
      </c>
      <c r="CD23" s="214" t="str">
        <f>IF(AND(C23="Skema 1",B23="ma"),Skemaoplysninger!$E$39,"")</f>
        <v/>
      </c>
      <c r="CE23" s="214" t="str">
        <f>IF(AND(C23="Skema 1",B23="ti"),Skemaoplysninger!$F$39,"")</f>
        <v/>
      </c>
      <c r="CF23" s="214" t="str">
        <f>IF(AND(C23="Skema 1",B23="on"),Skemaoplysninger!$G$39,"")</f>
        <v/>
      </c>
      <c r="CG23" s="214" t="str">
        <f>IF(AND(C23="Skema 1",B23="to"),Skemaoplysninger!$H$39,"")</f>
        <v/>
      </c>
      <c r="CH23" s="214">
        <f>IF(AND(C23="Skema 1",B23="fr"),Skemaoplysninger!$I$39,"")</f>
        <v>0</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4"/>
        <v>0</v>
      </c>
      <c r="DH23" t="str">
        <f t="shared" si="25"/>
        <v/>
      </c>
      <c r="DI23">
        <f t="shared" si="26"/>
        <v>0</v>
      </c>
      <c r="DJ23">
        <f t="shared" si="27"/>
        <v>0</v>
      </c>
      <c r="DK23" t="str">
        <f t="shared" si="13"/>
        <v/>
      </c>
      <c r="DL23" t="str">
        <f t="shared" si="13"/>
        <v/>
      </c>
      <c r="DM23" t="str">
        <f t="shared" si="13"/>
        <v/>
      </c>
      <c r="DN23" t="str">
        <f t="shared" si="28"/>
        <v/>
      </c>
    </row>
    <row r="24" spans="1:118">
      <c r="A24" s="249">
        <f>IF(ISNUMBER(A23),A23+1,1)</f>
        <v>16</v>
      </c>
      <c r="B24" s="132" t="str">
        <f t="shared" si="0"/>
        <v>lø</v>
      </c>
      <c r="C24" s="133" t="s">
        <v>121</v>
      </c>
      <c r="D24" s="134" t="str">
        <f t="shared" si="1"/>
        <v/>
      </c>
      <c r="E24" s="871"/>
      <c r="F24" s="872"/>
      <c r="G24" s="873"/>
      <c r="H24" s="313"/>
      <c r="I24" s="440"/>
      <c r="J24" s="440"/>
      <c r="K24" s="405"/>
      <c r="L24" s="405"/>
      <c r="M24" s="405"/>
      <c r="N24" s="334">
        <f t="shared" si="16"/>
        <v>0</v>
      </c>
      <c r="O24" s="334">
        <f t="shared" si="17"/>
        <v>0</v>
      </c>
      <c r="P24" s="334">
        <f>IF(Stamoplysninger!$H$29="JA",September!DG24,CX24)</f>
        <v>0</v>
      </c>
      <c r="Q24" s="334">
        <f t="shared" si="18"/>
        <v>0</v>
      </c>
      <c r="R24" s="335"/>
      <c r="S24" s="341"/>
      <c r="T24" s="342"/>
      <c r="U24" s="342"/>
      <c r="V24" s="462"/>
      <c r="W24" s="336"/>
      <c r="X24" s="469"/>
      <c r="Y24">
        <f t="shared" si="19"/>
        <v>0</v>
      </c>
      <c r="Z24" s="467">
        <f t="shared" si="20"/>
        <v>0</v>
      </c>
      <c r="AA24" s="1">
        <f t="shared" si="2"/>
        <v>0</v>
      </c>
      <c r="AB24" s="1">
        <f t="shared" si="3"/>
        <v>0</v>
      </c>
      <c r="AC24" s="1">
        <f t="shared" si="4"/>
        <v>0</v>
      </c>
      <c r="AD24" s="1">
        <f t="shared" si="5"/>
        <v>0</v>
      </c>
      <c r="AE24" s="1">
        <f t="shared" si="6"/>
        <v>0</v>
      </c>
      <c r="AF24" s="1">
        <f>IF(C24="Orlov",7.4*Stamoplysninger!$E$15,0)</f>
        <v>0</v>
      </c>
      <c r="AG24" t="str">
        <f>IF(AND(C24="Skema 1",B24="ma"),Arbejdstidsoversigt!$E$44,"")</f>
        <v/>
      </c>
      <c r="AH24" t="str">
        <f>IF(AND(C24="Skema 1",B24="ti"),Arbejdstidsoversigt!$E$45,"")</f>
        <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1"/>
        <v>0</v>
      </c>
      <c r="BB24" s="233">
        <f t="shared" si="7"/>
        <v>0</v>
      </c>
      <c r="BC24" s="1">
        <f t="shared" si="22"/>
        <v>0</v>
      </c>
      <c r="BD24" s="1">
        <f t="shared" si="8"/>
        <v>0</v>
      </c>
      <c r="BE24" s="1">
        <f t="shared" si="9"/>
        <v>0</v>
      </c>
      <c r="BF24" s="1">
        <f t="shared" si="10"/>
        <v>0</v>
      </c>
      <c r="BG24" s="214" t="str">
        <f>IF(AND(C24="Skema 1",B24="ma"),Skemaoplysninger!$E$30,"")</f>
        <v/>
      </c>
      <c r="BH24" s="214" t="str">
        <f>IF(AND(C24="Skema 1",B24="ti"),Skemaoplysninger!$F$30,"")</f>
        <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3"/>
        <v>0</v>
      </c>
      <c r="CB24" s="1">
        <f t="shared" si="11"/>
        <v>0</v>
      </c>
      <c r="CC24" s="1">
        <f t="shared" si="12"/>
        <v>0</v>
      </c>
      <c r="CD24" s="214" t="str">
        <f>IF(AND(C24="Skema 1",B24="ma"),Skemaoplysninger!$E$39,"")</f>
        <v/>
      </c>
      <c r="CE24" s="214" t="str">
        <f>IF(AND(C24="Skema 1",B24="ti"),Skemaoplysninger!$F$39,"")</f>
        <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4"/>
        <v>0</v>
      </c>
      <c r="DH24" t="str">
        <f t="shared" si="25"/>
        <v/>
      </c>
      <c r="DI24">
        <f t="shared" si="26"/>
        <v>0</v>
      </c>
      <c r="DJ24">
        <f t="shared" si="27"/>
        <v>0</v>
      </c>
      <c r="DK24" t="str">
        <f t="shared" si="13"/>
        <v/>
      </c>
      <c r="DL24" t="str">
        <f t="shared" si="13"/>
        <v/>
      </c>
      <c r="DM24" t="str">
        <f t="shared" si="13"/>
        <v/>
      </c>
      <c r="DN24" t="str">
        <f t="shared" si="28"/>
        <v/>
      </c>
    </row>
    <row r="25" spans="1:118">
      <c r="A25" s="249">
        <f t="shared" si="15"/>
        <v>17</v>
      </c>
      <c r="B25" s="132" t="str">
        <f t="shared" si="0"/>
        <v>sø</v>
      </c>
      <c r="C25" s="133" t="s">
        <v>121</v>
      </c>
      <c r="D25" s="134" t="str">
        <f t="shared" si="1"/>
        <v/>
      </c>
      <c r="E25" s="871"/>
      <c r="F25" s="872"/>
      <c r="G25" s="873"/>
      <c r="H25" s="313"/>
      <c r="I25" s="440"/>
      <c r="J25" s="440"/>
      <c r="K25" s="405"/>
      <c r="L25" s="405"/>
      <c r="M25" s="405"/>
      <c r="N25" s="334">
        <f t="shared" si="16"/>
        <v>0</v>
      </c>
      <c r="O25" s="334">
        <f t="shared" si="17"/>
        <v>0</v>
      </c>
      <c r="P25" s="334">
        <f>IF(Stamoplysninger!$H$29="JA",September!DG25,CX25)</f>
        <v>0</v>
      </c>
      <c r="Q25" s="334">
        <f t="shared" si="18"/>
        <v>0</v>
      </c>
      <c r="R25" s="335"/>
      <c r="S25" s="341"/>
      <c r="T25" s="342"/>
      <c r="U25" s="342"/>
      <c r="V25" s="462"/>
      <c r="W25" s="336"/>
      <c r="X25" s="469"/>
      <c r="Y25">
        <f t="shared" si="19"/>
        <v>0</v>
      </c>
      <c r="Z25" s="467">
        <f t="shared" si="20"/>
        <v>0</v>
      </c>
      <c r="AA25" s="1">
        <f t="shared" si="2"/>
        <v>0</v>
      </c>
      <c r="AB25" s="1">
        <f t="shared" si="3"/>
        <v>0</v>
      </c>
      <c r="AC25" s="1">
        <f t="shared" si="4"/>
        <v>0</v>
      </c>
      <c r="AD25" s="1">
        <f t="shared" si="5"/>
        <v>0</v>
      </c>
      <c r="AE25" s="1">
        <f t="shared" si="6"/>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1"/>
        <v>0</v>
      </c>
      <c r="BB25" s="233">
        <f t="shared" si="7"/>
        <v>0</v>
      </c>
      <c r="BC25" s="1">
        <f t="shared" si="22"/>
        <v>0</v>
      </c>
      <c r="BD25" s="1">
        <f t="shared" si="8"/>
        <v>0</v>
      </c>
      <c r="BE25" s="1">
        <f t="shared" si="9"/>
        <v>0</v>
      </c>
      <c r="BF25" s="1">
        <f t="shared" si="10"/>
        <v>0</v>
      </c>
      <c r="BG25" s="214" t="str">
        <f>IF(AND(C25="Skema 1",B25="ma"),Skemaoplysninger!$E$30,"")</f>
        <v/>
      </c>
      <c r="BH25" s="214" t="str">
        <f>IF(AND(C25="Skema 1",B25="ti"),Skemaoplysninger!$F$30,"")</f>
        <v/>
      </c>
      <c r="BI25" s="214" t="str">
        <f>IF(AND(C25="Skema 1",B25="on"),Skemaoplysninger!$G$30,"")</f>
        <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3"/>
        <v>0</v>
      </c>
      <c r="CB25" s="1">
        <f t="shared" si="11"/>
        <v>0</v>
      </c>
      <c r="CC25" s="1">
        <f t="shared" si="12"/>
        <v>0</v>
      </c>
      <c r="CD25" s="214" t="str">
        <f>IF(AND(C25="Skema 1",B25="ma"),Skemaoplysninger!$E$39,"")</f>
        <v/>
      </c>
      <c r="CE25" s="214" t="str">
        <f>IF(AND(C25="Skema 1",B25="ti"),Skemaoplysninger!$F$39,"")</f>
        <v/>
      </c>
      <c r="CF25" s="214" t="str">
        <f>IF(AND(C25="Skema 1",B25="on"),Skemaoplysninger!$G$39,"")</f>
        <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4"/>
        <v>0</v>
      </c>
      <c r="DH25" t="str">
        <f t="shared" si="25"/>
        <v/>
      </c>
      <c r="DI25">
        <f t="shared" si="26"/>
        <v>0</v>
      </c>
      <c r="DJ25">
        <f t="shared" si="27"/>
        <v>0</v>
      </c>
      <c r="DK25" t="str">
        <f t="shared" si="13"/>
        <v/>
      </c>
      <c r="DL25" t="str">
        <f t="shared" si="13"/>
        <v/>
      </c>
      <c r="DM25" t="str">
        <f t="shared" si="13"/>
        <v/>
      </c>
      <c r="DN25" t="str">
        <f t="shared" si="28"/>
        <v/>
      </c>
    </row>
    <row r="26" spans="1:118">
      <c r="A26" s="249">
        <f t="shared" si="15"/>
        <v>18</v>
      </c>
      <c r="B26" s="132" t="str">
        <f t="shared" si="0"/>
        <v>ma</v>
      </c>
      <c r="C26" s="133" t="s">
        <v>209</v>
      </c>
      <c r="D26" s="134">
        <f t="shared" si="1"/>
        <v>38.142857142857146</v>
      </c>
      <c r="E26" s="871"/>
      <c r="F26" s="872"/>
      <c r="G26" s="873"/>
      <c r="H26" s="313"/>
      <c r="I26" s="582"/>
      <c r="J26" s="440"/>
      <c r="K26" s="405"/>
      <c r="L26" s="405"/>
      <c r="M26" s="405"/>
      <c r="N26" s="334">
        <f t="shared" si="16"/>
        <v>0</v>
      </c>
      <c r="O26" s="334">
        <f t="shared" si="17"/>
        <v>0</v>
      </c>
      <c r="P26" s="334">
        <f>IF(Stamoplysninger!$H$29="JA",September!DG26,CX26)</f>
        <v>0</v>
      </c>
      <c r="Q26" s="334">
        <f t="shared" si="18"/>
        <v>0</v>
      </c>
      <c r="R26" s="335"/>
      <c r="S26" s="341"/>
      <c r="T26" s="342"/>
      <c r="U26" s="342"/>
      <c r="V26" s="462"/>
      <c r="W26" s="336"/>
      <c r="X26" s="469"/>
      <c r="Y26">
        <f t="shared" si="19"/>
        <v>0</v>
      </c>
      <c r="Z26" s="467">
        <f t="shared" si="20"/>
        <v>0</v>
      </c>
      <c r="AA26" s="1">
        <f t="shared" si="2"/>
        <v>0</v>
      </c>
      <c r="AB26" s="1">
        <f t="shared" si="3"/>
        <v>0</v>
      </c>
      <c r="AC26" s="1">
        <f t="shared" si="4"/>
        <v>0</v>
      </c>
      <c r="AD26" s="1">
        <f t="shared" si="5"/>
        <v>0</v>
      </c>
      <c r="AE26" s="1">
        <f t="shared" si="6"/>
        <v>0</v>
      </c>
      <c r="AF26" s="1">
        <f>IF(C26="Orlov",7.4*Stamoplysninger!$E$15,0)</f>
        <v>0</v>
      </c>
      <c r="AG26">
        <f>IF(AND(C26="Skema 1",B26="ma"),Arbejdstidsoversigt!$E$44,"")</f>
        <v>0</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1"/>
        <v>0</v>
      </c>
      <c r="BB26" s="233">
        <f t="shared" si="7"/>
        <v>0</v>
      </c>
      <c r="BC26" s="1">
        <f t="shared" si="22"/>
        <v>0</v>
      </c>
      <c r="BD26" s="1">
        <f t="shared" si="8"/>
        <v>0</v>
      </c>
      <c r="BE26" s="1">
        <f t="shared" si="9"/>
        <v>0</v>
      </c>
      <c r="BF26" s="1">
        <f t="shared" si="10"/>
        <v>0</v>
      </c>
      <c r="BG26" s="214">
        <f>IF(AND(C26="Skema 1",B26="ma"),Skemaoplysninger!$E$30,"")</f>
        <v>0</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3"/>
        <v>0</v>
      </c>
      <c r="CB26" s="1">
        <f t="shared" si="11"/>
        <v>0</v>
      </c>
      <c r="CC26" s="1">
        <f t="shared" si="12"/>
        <v>0</v>
      </c>
      <c r="CD26" s="214">
        <f>IF(AND(C26="Skema 1",B26="ma"),Skemaoplysninger!$E$39,"")</f>
        <v>0</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4"/>
        <v>0</v>
      </c>
      <c r="DH26" t="str">
        <f t="shared" si="25"/>
        <v/>
      </c>
      <c r="DI26">
        <f t="shared" si="26"/>
        <v>0</v>
      </c>
      <c r="DJ26">
        <f t="shared" si="27"/>
        <v>0</v>
      </c>
      <c r="DK26" t="str">
        <f t="shared" si="13"/>
        <v/>
      </c>
      <c r="DL26" t="str">
        <f t="shared" si="13"/>
        <v/>
      </c>
      <c r="DM26" t="str">
        <f t="shared" si="13"/>
        <v/>
      </c>
      <c r="DN26" t="str">
        <f t="shared" si="28"/>
        <v/>
      </c>
    </row>
    <row r="27" spans="1:118">
      <c r="A27" s="249">
        <f t="shared" si="15"/>
        <v>19</v>
      </c>
      <c r="B27" s="132" t="str">
        <f t="shared" si="0"/>
        <v>ti</v>
      </c>
      <c r="C27" s="133" t="s">
        <v>209</v>
      </c>
      <c r="D27" s="134" t="str">
        <f t="shared" si="1"/>
        <v/>
      </c>
      <c r="E27" s="871"/>
      <c r="F27" s="872"/>
      <c r="G27" s="873"/>
      <c r="H27" s="313"/>
      <c r="I27" s="582"/>
      <c r="J27" s="440"/>
      <c r="K27" s="405"/>
      <c r="L27" s="405"/>
      <c r="M27" s="405"/>
      <c r="N27" s="334">
        <f t="shared" si="16"/>
        <v>0</v>
      </c>
      <c r="O27" s="334">
        <f t="shared" si="17"/>
        <v>0</v>
      </c>
      <c r="P27" s="334">
        <f>IF(Stamoplysninger!$H$29="JA",September!DG27,CX27)</f>
        <v>0</v>
      </c>
      <c r="Q27" s="334">
        <f t="shared" si="18"/>
        <v>0</v>
      </c>
      <c r="R27" s="335"/>
      <c r="S27" s="341"/>
      <c r="T27" s="342"/>
      <c r="U27" s="342"/>
      <c r="V27" s="462"/>
      <c r="W27" s="336"/>
      <c r="X27" s="469"/>
      <c r="Y27">
        <f t="shared" si="19"/>
        <v>0</v>
      </c>
      <c r="Z27" s="467">
        <f t="shared" si="20"/>
        <v>0</v>
      </c>
      <c r="AA27" s="1">
        <f t="shared" si="2"/>
        <v>0</v>
      </c>
      <c r="AB27" s="1">
        <f t="shared" si="3"/>
        <v>0</v>
      </c>
      <c r="AC27" s="1">
        <f t="shared" si="4"/>
        <v>0</v>
      </c>
      <c r="AD27" s="1">
        <f t="shared" si="5"/>
        <v>0</v>
      </c>
      <c r="AE27" s="1">
        <f t="shared" si="6"/>
        <v>0</v>
      </c>
      <c r="AF27" s="1">
        <f>IF(C27="Orlov",7.4*Stamoplysninger!$E$15,0)</f>
        <v>0</v>
      </c>
      <c r="AG27" t="str">
        <f>IF(AND(C27="Skema 1",B27="ma"),Arbejdstidsoversigt!$E$44,"")</f>
        <v/>
      </c>
      <c r="AH27">
        <f>IF(AND(C27="Skema 1",B27="ti"),Arbejdstidsoversigt!$E$45,"")</f>
        <v>0</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1"/>
        <v>0</v>
      </c>
      <c r="BB27" s="233">
        <f t="shared" si="7"/>
        <v>0</v>
      </c>
      <c r="BC27" s="1">
        <f t="shared" si="22"/>
        <v>0</v>
      </c>
      <c r="BD27" s="1">
        <f t="shared" si="8"/>
        <v>0</v>
      </c>
      <c r="BE27" s="1">
        <f t="shared" si="9"/>
        <v>0</v>
      </c>
      <c r="BF27" s="1">
        <f t="shared" si="10"/>
        <v>0</v>
      </c>
      <c r="BG27" s="214" t="str">
        <f>IF(AND(C27="Skema 1",B27="ma"),Skemaoplysninger!$E$30,"")</f>
        <v/>
      </c>
      <c r="BH27" s="214">
        <f>IF(AND(C27="Skema 1",B27="ti"),Skemaoplysninger!$F$30,"")</f>
        <v>0</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3"/>
        <v>0</v>
      </c>
      <c r="CB27" s="1">
        <f t="shared" si="11"/>
        <v>0</v>
      </c>
      <c r="CC27" s="1">
        <f t="shared" si="12"/>
        <v>0</v>
      </c>
      <c r="CD27" s="214" t="str">
        <f>IF(AND(C27="Skema 1",B27="ma"),Skemaoplysninger!$E$39,"")</f>
        <v/>
      </c>
      <c r="CE27" s="214">
        <f>IF(AND(C27="Skema 1",B27="ti"),Skemaoplysninger!$F$39,"")</f>
        <v>0</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4"/>
        <v>0</v>
      </c>
      <c r="DH27" t="str">
        <f t="shared" si="25"/>
        <v/>
      </c>
      <c r="DI27">
        <f t="shared" si="26"/>
        <v>0</v>
      </c>
      <c r="DJ27">
        <f t="shared" si="27"/>
        <v>0</v>
      </c>
      <c r="DK27" t="str">
        <f t="shared" si="13"/>
        <v/>
      </c>
      <c r="DL27" t="str">
        <f t="shared" si="13"/>
        <v/>
      </c>
      <c r="DM27" t="str">
        <f t="shared" si="13"/>
        <v/>
      </c>
      <c r="DN27" t="str">
        <f t="shared" si="28"/>
        <v/>
      </c>
    </row>
    <row r="28" spans="1:118">
      <c r="A28" s="249">
        <f t="shared" si="15"/>
        <v>20</v>
      </c>
      <c r="B28" s="132" t="str">
        <f t="shared" si="0"/>
        <v>on</v>
      </c>
      <c r="C28" s="133" t="s">
        <v>209</v>
      </c>
      <c r="D28" s="134" t="str">
        <f t="shared" si="1"/>
        <v/>
      </c>
      <c r="E28" s="871"/>
      <c r="F28" s="872"/>
      <c r="G28" s="873"/>
      <c r="H28" s="313"/>
      <c r="I28" s="582"/>
      <c r="J28" s="440"/>
      <c r="K28" s="405"/>
      <c r="L28" s="405"/>
      <c r="M28" s="405"/>
      <c r="N28" s="334">
        <f t="shared" si="16"/>
        <v>0</v>
      </c>
      <c r="O28" s="334">
        <f t="shared" si="17"/>
        <v>0</v>
      </c>
      <c r="P28" s="334">
        <f>IF(Stamoplysninger!$H$29="JA",September!DG28,CX28)</f>
        <v>0</v>
      </c>
      <c r="Q28" s="334">
        <f t="shared" si="18"/>
        <v>0</v>
      </c>
      <c r="R28" s="335"/>
      <c r="S28" s="341"/>
      <c r="T28" s="342"/>
      <c r="U28" s="342"/>
      <c r="V28" s="462"/>
      <c r="W28" s="336"/>
      <c r="X28" s="469"/>
      <c r="Y28">
        <f t="shared" si="19"/>
        <v>0</v>
      </c>
      <c r="Z28" s="467">
        <f t="shared" si="20"/>
        <v>0</v>
      </c>
      <c r="AA28" s="1">
        <f t="shared" si="2"/>
        <v>0</v>
      </c>
      <c r="AB28" s="1">
        <f t="shared" si="3"/>
        <v>0</v>
      </c>
      <c r="AC28" s="1">
        <f t="shared" si="4"/>
        <v>0</v>
      </c>
      <c r="AD28" s="1">
        <f t="shared" si="5"/>
        <v>0</v>
      </c>
      <c r="AE28" s="1">
        <f t="shared" si="6"/>
        <v>0</v>
      </c>
      <c r="AF28" s="1">
        <f>IF(C28="Orlov",7.4*Stamoplysninger!$E$15,0)</f>
        <v>0</v>
      </c>
      <c r="AG28" t="str">
        <f>IF(AND(C28="Skema 1",B28="ma"),Arbejdstidsoversigt!$E$44,"")</f>
        <v/>
      </c>
      <c r="AH28" t="str">
        <f>IF(AND(C28="Skema 1",B28="ti"),Arbejdstidsoversigt!$E$45,"")</f>
        <v/>
      </c>
      <c r="AI28">
        <f>IF(AND(C28="Skema 1",B28="on"),Arbejdstidsoversigt!$E$46,"")</f>
        <v>0</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1"/>
        <v>0</v>
      </c>
      <c r="BB28" s="233">
        <f t="shared" si="7"/>
        <v>0</v>
      </c>
      <c r="BC28" s="1">
        <f t="shared" si="22"/>
        <v>0</v>
      </c>
      <c r="BD28" s="1">
        <f t="shared" si="8"/>
        <v>0</v>
      </c>
      <c r="BE28" s="1">
        <f t="shared" si="9"/>
        <v>0</v>
      </c>
      <c r="BF28" s="1">
        <f t="shared" si="10"/>
        <v>0</v>
      </c>
      <c r="BG28" s="214" t="str">
        <f>IF(AND(C28="Skema 1",B28="ma"),Skemaoplysninger!$E$30,"")</f>
        <v/>
      </c>
      <c r="BH28" s="214" t="str">
        <f>IF(AND(C28="Skema 1",B28="ti"),Skemaoplysninger!$F$30,"")</f>
        <v/>
      </c>
      <c r="BI28" s="214">
        <f>IF(AND(C28="Skema 1",B28="on"),Skemaoplysninger!$G$30,"")</f>
        <v>0</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3"/>
        <v>0</v>
      </c>
      <c r="CB28" s="1">
        <f t="shared" si="11"/>
        <v>0</v>
      </c>
      <c r="CC28" s="1">
        <f t="shared" si="12"/>
        <v>0</v>
      </c>
      <c r="CD28" s="214" t="str">
        <f>IF(AND(C28="Skema 1",B28="ma"),Skemaoplysninger!$E$39,"")</f>
        <v/>
      </c>
      <c r="CE28" s="214" t="str">
        <f>IF(AND(C28="Skema 1",B28="ti"),Skemaoplysninger!$F$39,"")</f>
        <v/>
      </c>
      <c r="CF28" s="214">
        <f>IF(AND(C28="Skema 1",B28="on"),Skemaoplysninger!$G$39,"")</f>
        <v>0</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4"/>
        <v>0</v>
      </c>
      <c r="DH28" t="str">
        <f t="shared" si="25"/>
        <v/>
      </c>
      <c r="DI28">
        <f t="shared" si="26"/>
        <v>0</v>
      </c>
      <c r="DJ28">
        <f t="shared" si="27"/>
        <v>0</v>
      </c>
      <c r="DK28" t="str">
        <f t="shared" si="13"/>
        <v/>
      </c>
      <c r="DL28" t="str">
        <f t="shared" si="13"/>
        <v/>
      </c>
      <c r="DM28" t="str">
        <f t="shared" si="13"/>
        <v/>
      </c>
      <c r="DN28" t="str">
        <f t="shared" si="28"/>
        <v/>
      </c>
    </row>
    <row r="29" spans="1:118">
      <c r="A29" s="249">
        <f t="shared" si="15"/>
        <v>21</v>
      </c>
      <c r="B29" s="132" t="str">
        <f t="shared" si="0"/>
        <v>to</v>
      </c>
      <c r="C29" s="133" t="s">
        <v>209</v>
      </c>
      <c r="D29" s="134" t="str">
        <f t="shared" si="1"/>
        <v/>
      </c>
      <c r="E29" s="871"/>
      <c r="F29" s="872"/>
      <c r="G29" s="873"/>
      <c r="H29" s="313"/>
      <c r="I29" s="582"/>
      <c r="J29" s="440"/>
      <c r="K29" s="405"/>
      <c r="L29" s="405"/>
      <c r="M29" s="405"/>
      <c r="N29" s="334">
        <f t="shared" si="16"/>
        <v>0</v>
      </c>
      <c r="O29" s="334">
        <f t="shared" si="17"/>
        <v>0</v>
      </c>
      <c r="P29" s="334">
        <f>IF(Stamoplysninger!$H$29="JA",September!DG29,CX29)</f>
        <v>0</v>
      </c>
      <c r="Q29" s="334">
        <f t="shared" si="18"/>
        <v>0</v>
      </c>
      <c r="R29" s="335"/>
      <c r="S29" s="341"/>
      <c r="T29" s="342"/>
      <c r="U29" s="342"/>
      <c r="V29" s="462"/>
      <c r="W29" s="336"/>
      <c r="X29" s="469"/>
      <c r="Y29">
        <f t="shared" si="19"/>
        <v>0</v>
      </c>
      <c r="Z29" s="467">
        <f t="shared" si="20"/>
        <v>0</v>
      </c>
      <c r="AA29" s="1">
        <f t="shared" si="2"/>
        <v>0</v>
      </c>
      <c r="AB29" s="1">
        <f t="shared" si="3"/>
        <v>0</v>
      </c>
      <c r="AC29" s="1">
        <f t="shared" si="4"/>
        <v>0</v>
      </c>
      <c r="AD29" s="1">
        <f t="shared" si="5"/>
        <v>0</v>
      </c>
      <c r="AE29" s="1">
        <f t="shared" si="6"/>
        <v>0</v>
      </c>
      <c r="AF29" s="1">
        <f>IF(C29="Orlov",7.4*Stamoplysninger!$E$15,0)</f>
        <v>0</v>
      </c>
      <c r="AG29" t="str">
        <f>IF(AND(C29="Skema 1",B29="ma"),Arbejdstidsoversigt!$E$44,"")</f>
        <v/>
      </c>
      <c r="AH29" t="str">
        <f>IF(AND(C29="Skema 1",B29="ti"),Arbejdstidsoversigt!$E$45,"")</f>
        <v/>
      </c>
      <c r="AI29" t="str">
        <f>IF(AND(C29="Skema 1",B29="on"),Arbejdstidsoversigt!$E$46,"")</f>
        <v/>
      </c>
      <c r="AJ29">
        <f>IF(AND(C29="Skema 1",B29="to"),Arbejdstidsoversigt!$E$47,"")</f>
        <v>0</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1"/>
        <v>0</v>
      </c>
      <c r="BB29" s="233">
        <f t="shared" si="7"/>
        <v>0</v>
      </c>
      <c r="BC29" s="1">
        <f t="shared" si="22"/>
        <v>0</v>
      </c>
      <c r="BD29" s="1">
        <f t="shared" si="8"/>
        <v>0</v>
      </c>
      <c r="BE29" s="1">
        <f t="shared" si="9"/>
        <v>0</v>
      </c>
      <c r="BF29" s="1">
        <f t="shared" si="10"/>
        <v>0</v>
      </c>
      <c r="BG29" s="214" t="str">
        <f>IF(AND(C29="Skema 1",B29="ma"),Skemaoplysninger!$E$30,"")</f>
        <v/>
      </c>
      <c r="BH29" s="214" t="str">
        <f>IF(AND(C29="Skema 1",B29="ti"),Skemaoplysninger!$F$30,"")</f>
        <v/>
      </c>
      <c r="BI29" s="214" t="str">
        <f>IF(AND(C29="Skema 1",B29="on"),Skemaoplysninger!$G$30,"")</f>
        <v/>
      </c>
      <c r="BJ29" s="214">
        <f>IF(AND(C29="Skema 1",B29="to"),Skemaoplysninger!$H$30,"")</f>
        <v>0</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3"/>
        <v>0</v>
      </c>
      <c r="CB29" s="1">
        <f t="shared" si="11"/>
        <v>0</v>
      </c>
      <c r="CC29" s="1">
        <f t="shared" si="12"/>
        <v>0</v>
      </c>
      <c r="CD29" s="214" t="str">
        <f>IF(AND(C29="Skema 1",B29="ma"),Skemaoplysninger!$E$39,"")</f>
        <v/>
      </c>
      <c r="CE29" s="214" t="str">
        <f>IF(AND(C29="Skema 1",B29="ti"),Skemaoplysninger!$F$39,"")</f>
        <v/>
      </c>
      <c r="CF29" s="214" t="str">
        <f>IF(AND(C29="Skema 1",B29="on"),Skemaoplysninger!$G$39,"")</f>
        <v/>
      </c>
      <c r="CG29" s="214">
        <f>IF(AND(C29="Skema 1",B29="to"),Skemaoplysninger!$H$39,"")</f>
        <v>0</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4"/>
        <v>0</v>
      </c>
      <c r="DH29" t="str">
        <f t="shared" si="25"/>
        <v/>
      </c>
      <c r="DI29">
        <f t="shared" si="26"/>
        <v>0</v>
      </c>
      <c r="DJ29">
        <f t="shared" si="27"/>
        <v>0</v>
      </c>
      <c r="DK29" t="str">
        <f t="shared" si="13"/>
        <v/>
      </c>
      <c r="DL29" t="str">
        <f t="shared" si="13"/>
        <v/>
      </c>
      <c r="DM29" t="str">
        <f t="shared" si="13"/>
        <v/>
      </c>
      <c r="DN29" t="str">
        <f t="shared" si="28"/>
        <v/>
      </c>
    </row>
    <row r="30" spans="1:118">
      <c r="A30" s="249">
        <f t="shared" si="15"/>
        <v>22</v>
      </c>
      <c r="B30" s="132" t="str">
        <f t="shared" si="0"/>
        <v>fr</v>
      </c>
      <c r="C30" s="133" t="s">
        <v>209</v>
      </c>
      <c r="D30" s="134" t="str">
        <f t="shared" si="1"/>
        <v/>
      </c>
      <c r="E30" s="871"/>
      <c r="F30" s="872"/>
      <c r="G30" s="873"/>
      <c r="H30" s="313"/>
      <c r="I30" s="582"/>
      <c r="J30" s="440"/>
      <c r="K30" s="405"/>
      <c r="L30" s="405"/>
      <c r="M30" s="405"/>
      <c r="N30" s="334">
        <f t="shared" si="16"/>
        <v>0</v>
      </c>
      <c r="O30" s="334">
        <f t="shared" si="17"/>
        <v>0</v>
      </c>
      <c r="P30" s="334">
        <f>IF(Stamoplysninger!$H$29="JA",September!DG30,CX30)</f>
        <v>0</v>
      </c>
      <c r="Q30" s="334">
        <f t="shared" si="18"/>
        <v>0</v>
      </c>
      <c r="R30" s="335"/>
      <c r="S30" s="341"/>
      <c r="T30" s="342"/>
      <c r="U30" s="342"/>
      <c r="V30" s="462"/>
      <c r="W30" s="336"/>
      <c r="X30" s="469"/>
      <c r="Y30">
        <f t="shared" si="19"/>
        <v>0</v>
      </c>
      <c r="Z30" s="467">
        <f t="shared" si="20"/>
        <v>0</v>
      </c>
      <c r="AA30" s="1">
        <f t="shared" si="2"/>
        <v>0</v>
      </c>
      <c r="AB30" s="1">
        <f t="shared" si="3"/>
        <v>0</v>
      </c>
      <c r="AC30" s="1">
        <f t="shared" si="4"/>
        <v>0</v>
      </c>
      <c r="AD30" s="1">
        <f t="shared" si="5"/>
        <v>0</v>
      </c>
      <c r="AE30" s="1">
        <f t="shared" si="6"/>
        <v>0</v>
      </c>
      <c r="AF30" s="1">
        <f>IF(C30="Orlov",7.4*Stamoplysninger!$E$15,0)</f>
        <v>0</v>
      </c>
      <c r="AG30" t="str">
        <f>IF(AND(C30="Skema 1",B30="ma"),Arbejdstidsoversigt!$E$44,"")</f>
        <v/>
      </c>
      <c r="AH30" t="str">
        <f>IF(AND(C30="Skema 1",B30="ti"),Arbejdstidsoversigt!$E$45,"")</f>
        <v/>
      </c>
      <c r="AI30" t="str">
        <f>IF(AND(C30="Skema 1",B30="on"),Arbejdstidsoversigt!$E$46,"")</f>
        <v/>
      </c>
      <c r="AJ30" t="str">
        <f>IF(AND(C30="Skema 1",B30="to"),Arbejdstidsoversigt!$E$47,"")</f>
        <v/>
      </c>
      <c r="AK30">
        <f>IF(AND(C30="Skema 1",B30="fr"),Arbejdstidsoversigt!$E$48,"")</f>
        <v>0</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1"/>
        <v>0</v>
      </c>
      <c r="BB30" s="233">
        <f t="shared" si="7"/>
        <v>0</v>
      </c>
      <c r="BC30" s="1">
        <f t="shared" si="22"/>
        <v>0</v>
      </c>
      <c r="BD30" s="1">
        <f t="shared" si="8"/>
        <v>0</v>
      </c>
      <c r="BE30" s="1">
        <f t="shared" si="9"/>
        <v>0</v>
      </c>
      <c r="BF30" s="1">
        <f t="shared" si="10"/>
        <v>0</v>
      </c>
      <c r="BG30" s="214" t="str">
        <f>IF(AND(C30="Skema 1",B30="ma"),Skemaoplysninger!$E$30,"")</f>
        <v/>
      </c>
      <c r="BH30" s="214" t="str">
        <f>IF(AND(C30="Skema 1",B30="ti"),Skemaoplysninger!$F$30,"")</f>
        <v/>
      </c>
      <c r="BI30" s="214" t="str">
        <f>IF(AND(C30="Skema 1",B30="on"),Skemaoplysninger!$G$30,"")</f>
        <v/>
      </c>
      <c r="BJ30" s="214" t="str">
        <f>IF(AND(C30="Skema 1",B30="to"),Skemaoplysninger!$H$30,"")</f>
        <v/>
      </c>
      <c r="BK30" s="214">
        <f>IF(AND(C30="Skema 1",B30="fr"),Skemaoplysninger!$I$30,"")</f>
        <v>0</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3"/>
        <v>0</v>
      </c>
      <c r="CB30" s="1">
        <f t="shared" si="11"/>
        <v>0</v>
      </c>
      <c r="CC30" s="1">
        <f t="shared" si="12"/>
        <v>0</v>
      </c>
      <c r="CD30" s="214" t="str">
        <f>IF(AND(C30="Skema 1",B30="ma"),Skemaoplysninger!$E$39,"")</f>
        <v/>
      </c>
      <c r="CE30" s="214" t="str">
        <f>IF(AND(C30="Skema 1",B30="ti"),Skemaoplysninger!$F$39,"")</f>
        <v/>
      </c>
      <c r="CF30" s="214" t="str">
        <f>IF(AND(C30="Skema 1",B30="on"),Skemaoplysninger!$G$39,"")</f>
        <v/>
      </c>
      <c r="CG30" s="214" t="str">
        <f>IF(AND(C30="Skema 1",B30="to"),Skemaoplysninger!$H$39,"")</f>
        <v/>
      </c>
      <c r="CH30" s="214">
        <f>IF(AND(C30="Skema 1",B30="fr"),Skemaoplysninger!$I$39,"")</f>
        <v>0</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4"/>
        <v>0</v>
      </c>
      <c r="DH30" t="str">
        <f t="shared" si="25"/>
        <v/>
      </c>
      <c r="DI30">
        <f t="shared" si="26"/>
        <v>0</v>
      </c>
      <c r="DJ30">
        <f t="shared" si="27"/>
        <v>0</v>
      </c>
      <c r="DK30" t="str">
        <f t="shared" si="13"/>
        <v/>
      </c>
      <c r="DL30" t="str">
        <f t="shared" si="13"/>
        <v/>
      </c>
      <c r="DM30" t="str">
        <f t="shared" si="13"/>
        <v/>
      </c>
      <c r="DN30" t="str">
        <f t="shared" si="28"/>
        <v/>
      </c>
    </row>
    <row r="31" spans="1:118">
      <c r="A31" s="249">
        <f t="shared" si="15"/>
        <v>23</v>
      </c>
      <c r="B31" s="132" t="str">
        <f t="shared" si="0"/>
        <v>lø</v>
      </c>
      <c r="C31" s="133" t="s">
        <v>121</v>
      </c>
      <c r="D31" s="134" t="str">
        <f t="shared" si="1"/>
        <v/>
      </c>
      <c r="E31" s="871"/>
      <c r="F31" s="872"/>
      <c r="G31" s="873"/>
      <c r="H31" s="313"/>
      <c r="I31" s="440"/>
      <c r="J31" s="440"/>
      <c r="K31" s="405"/>
      <c r="L31" s="405"/>
      <c r="M31" s="405"/>
      <c r="N31" s="334">
        <f t="shared" si="16"/>
        <v>0</v>
      </c>
      <c r="O31" s="334">
        <f t="shared" si="17"/>
        <v>0</v>
      </c>
      <c r="P31" s="334">
        <f>IF(Stamoplysninger!$H$29="JA",September!DG31,CX31)</f>
        <v>0</v>
      </c>
      <c r="Q31" s="334">
        <f t="shared" si="18"/>
        <v>0</v>
      </c>
      <c r="R31" s="335"/>
      <c r="S31" s="341"/>
      <c r="T31" s="342"/>
      <c r="U31" s="342"/>
      <c r="V31" s="462"/>
      <c r="W31" s="336"/>
      <c r="X31" s="469"/>
      <c r="Y31">
        <f t="shared" si="19"/>
        <v>0</v>
      </c>
      <c r="Z31" s="467">
        <f t="shared" si="20"/>
        <v>0</v>
      </c>
      <c r="AA31" s="1">
        <f t="shared" si="2"/>
        <v>0</v>
      </c>
      <c r="AB31" s="1">
        <f t="shared" si="3"/>
        <v>0</v>
      </c>
      <c r="AC31" s="1">
        <f t="shared" si="4"/>
        <v>0</v>
      </c>
      <c r="AD31" s="1">
        <f t="shared" si="5"/>
        <v>0</v>
      </c>
      <c r="AE31" s="1">
        <f t="shared" si="6"/>
        <v>0</v>
      </c>
      <c r="AF31" s="1">
        <f>IF(C31="Orlov",7.4*Stamoplysninger!$E$15,0)</f>
        <v>0</v>
      </c>
      <c r="AG31" t="str">
        <f>IF(AND(C31="Skema 1",B31="ma"),Arbejdstidsoversigt!$E$44,"")</f>
        <v/>
      </c>
      <c r="AH31" t="str">
        <f>IF(AND(C31="Skema 1",B31="ti"),Arbejdstidsoversigt!$E$45,"")</f>
        <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1"/>
        <v>0</v>
      </c>
      <c r="BB31" s="233">
        <f t="shared" si="7"/>
        <v>0</v>
      </c>
      <c r="BC31" s="1">
        <f t="shared" si="22"/>
        <v>0</v>
      </c>
      <c r="BD31" s="1">
        <f t="shared" si="8"/>
        <v>0</v>
      </c>
      <c r="BE31" s="1">
        <f t="shared" si="9"/>
        <v>0</v>
      </c>
      <c r="BF31" s="1">
        <f t="shared" si="10"/>
        <v>0</v>
      </c>
      <c r="BG31" s="214" t="str">
        <f>IF(AND(C31="Skema 1",B31="ma"),Skemaoplysninger!$E$30,"")</f>
        <v/>
      </c>
      <c r="BH31" s="214" t="str">
        <f>IF(AND(C31="Skema 1",B31="ti"),Skemaoplysninger!$F$30,"")</f>
        <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3"/>
        <v>0</v>
      </c>
      <c r="CB31" s="1">
        <f t="shared" si="11"/>
        <v>0</v>
      </c>
      <c r="CC31" s="1">
        <f t="shared" si="12"/>
        <v>0</v>
      </c>
      <c r="CD31" s="214" t="str">
        <f>IF(AND(C31="Skema 1",B31="ma"),Skemaoplysninger!$E$39,"")</f>
        <v/>
      </c>
      <c r="CE31" s="214" t="str">
        <f>IF(AND(C31="Skema 1",B31="ti"),Skemaoplysninger!$F$39,"")</f>
        <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4"/>
        <v>0</v>
      </c>
      <c r="DH31" t="str">
        <f t="shared" si="25"/>
        <v/>
      </c>
      <c r="DI31">
        <f t="shared" si="26"/>
        <v>0</v>
      </c>
      <c r="DJ31">
        <f t="shared" si="27"/>
        <v>0</v>
      </c>
      <c r="DK31" t="str">
        <f t="shared" si="13"/>
        <v/>
      </c>
      <c r="DL31" t="str">
        <f t="shared" si="13"/>
        <v/>
      </c>
      <c r="DM31" t="str">
        <f t="shared" si="13"/>
        <v/>
      </c>
      <c r="DN31" t="str">
        <f t="shared" si="28"/>
        <v/>
      </c>
    </row>
    <row r="32" spans="1:118">
      <c r="A32" s="249">
        <f t="shared" si="15"/>
        <v>24</v>
      </c>
      <c r="B32" s="132" t="str">
        <f t="shared" si="0"/>
        <v>sø</v>
      </c>
      <c r="C32" s="133" t="s">
        <v>121</v>
      </c>
      <c r="D32" s="134" t="str">
        <f t="shared" si="1"/>
        <v/>
      </c>
      <c r="E32" s="868"/>
      <c r="F32" s="869"/>
      <c r="G32" s="870"/>
      <c r="H32" s="313"/>
      <c r="I32" s="440"/>
      <c r="J32" s="440"/>
      <c r="K32" s="405"/>
      <c r="L32" s="405"/>
      <c r="M32" s="405"/>
      <c r="N32" s="334">
        <f t="shared" si="16"/>
        <v>0</v>
      </c>
      <c r="O32" s="334">
        <f t="shared" si="17"/>
        <v>0</v>
      </c>
      <c r="P32" s="334">
        <f>IF(Stamoplysninger!$H$29="JA",September!DG32,CX32)</f>
        <v>0</v>
      </c>
      <c r="Q32" s="334">
        <f t="shared" si="18"/>
        <v>0</v>
      </c>
      <c r="R32" s="335"/>
      <c r="S32" s="341"/>
      <c r="T32" s="342"/>
      <c r="U32" s="342"/>
      <c r="V32" s="462"/>
      <c r="W32" s="336"/>
      <c r="X32" s="469"/>
      <c r="Y32">
        <f t="shared" si="19"/>
        <v>0</v>
      </c>
      <c r="Z32" s="467">
        <f t="shared" si="20"/>
        <v>0</v>
      </c>
      <c r="AA32" s="1">
        <f t="shared" si="2"/>
        <v>0</v>
      </c>
      <c r="AB32" s="1">
        <f t="shared" si="3"/>
        <v>0</v>
      </c>
      <c r="AC32" s="1">
        <f t="shared" si="4"/>
        <v>0</v>
      </c>
      <c r="AD32" s="1">
        <f t="shared" si="5"/>
        <v>0</v>
      </c>
      <c r="AE32" s="1">
        <f t="shared" si="6"/>
        <v>0</v>
      </c>
      <c r="AF32" s="1">
        <f>IF(C32="Orlov",7.4*Stamoplysninger!$E$15,0)</f>
        <v>0</v>
      </c>
      <c r="AG32" t="str">
        <f>IF(AND(C32="Skema 1",B32="ma"),Arbejdstidsoversigt!$E$44,"")</f>
        <v/>
      </c>
      <c r="AH32" t="str">
        <f>IF(AND(C32="Skema 1",B32="ti"),Arbejdstidsoversigt!$E$45,"")</f>
        <v/>
      </c>
      <c r="AI32" t="str">
        <f>IF(AND(C32="Skema 1",B32="on"),Arbejdstidsoversigt!$E$46,"")</f>
        <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1"/>
        <v>0</v>
      </c>
      <c r="BB32" s="233">
        <f t="shared" si="7"/>
        <v>0</v>
      </c>
      <c r="BC32" s="1">
        <f t="shared" si="22"/>
        <v>0</v>
      </c>
      <c r="BD32" s="1">
        <f t="shared" si="8"/>
        <v>0</v>
      </c>
      <c r="BE32" s="1">
        <f t="shared" si="9"/>
        <v>0</v>
      </c>
      <c r="BF32" s="1">
        <f t="shared" si="10"/>
        <v>0</v>
      </c>
      <c r="BG32" s="214" t="str">
        <f>IF(AND(C32="Skema 1",B32="ma"),Skemaoplysninger!$E$30,"")</f>
        <v/>
      </c>
      <c r="BH32" s="214" t="str">
        <f>IF(AND(C32="Skema 1",B32="ti"),Skemaoplysninger!$F$30,"")</f>
        <v/>
      </c>
      <c r="BI32" s="214" t="str">
        <f>IF(AND(C32="Skema 1",B32="on"),Skemaoplysninger!$G$30,"")</f>
        <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3"/>
        <v>0</v>
      </c>
      <c r="CB32" s="1">
        <f t="shared" si="11"/>
        <v>0</v>
      </c>
      <c r="CC32" s="1">
        <f t="shared" si="12"/>
        <v>0</v>
      </c>
      <c r="CD32" s="214" t="str">
        <f>IF(AND(C32="Skema 1",B32="ma"),Skemaoplysninger!$E$39,"")</f>
        <v/>
      </c>
      <c r="CE32" s="214" t="str">
        <f>IF(AND(C32="Skema 1",B32="ti"),Skemaoplysninger!$F$39,"")</f>
        <v/>
      </c>
      <c r="CF32" s="214" t="str">
        <f>IF(AND(C32="Skema 1",B32="on"),Skemaoplysninger!$G$39,"")</f>
        <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4"/>
        <v>0</v>
      </c>
      <c r="DH32" t="str">
        <f t="shared" si="25"/>
        <v/>
      </c>
      <c r="DI32">
        <f t="shared" si="26"/>
        <v>0</v>
      </c>
      <c r="DJ32">
        <f t="shared" si="27"/>
        <v>0</v>
      </c>
      <c r="DK32" t="str">
        <f t="shared" si="13"/>
        <v/>
      </c>
      <c r="DL32" t="str">
        <f t="shared" si="13"/>
        <v/>
      </c>
      <c r="DM32" t="str">
        <f t="shared" si="13"/>
        <v/>
      </c>
      <c r="DN32" t="str">
        <f t="shared" si="28"/>
        <v/>
      </c>
    </row>
    <row r="33" spans="1:118">
      <c r="A33" s="249">
        <f t="shared" si="15"/>
        <v>25</v>
      </c>
      <c r="B33" s="132" t="str">
        <f t="shared" si="0"/>
        <v>ma</v>
      </c>
      <c r="C33" s="133" t="s">
        <v>209</v>
      </c>
      <c r="D33" s="134">
        <f t="shared" si="1"/>
        <v>39.142857142857146</v>
      </c>
      <c r="E33" s="871"/>
      <c r="F33" s="872"/>
      <c r="G33" s="873"/>
      <c r="H33" s="313"/>
      <c r="I33" s="582"/>
      <c r="J33" s="440"/>
      <c r="K33" s="405"/>
      <c r="L33" s="405"/>
      <c r="M33" s="405"/>
      <c r="N33" s="334">
        <f t="shared" si="16"/>
        <v>0</v>
      </c>
      <c r="O33" s="334">
        <f t="shared" si="17"/>
        <v>0</v>
      </c>
      <c r="P33" s="334">
        <f>IF(Stamoplysninger!$H$29="JA",September!DG33,CX33)</f>
        <v>0</v>
      </c>
      <c r="Q33" s="334">
        <f t="shared" si="18"/>
        <v>0</v>
      </c>
      <c r="R33" s="335"/>
      <c r="S33" s="341"/>
      <c r="T33" s="342"/>
      <c r="U33" s="342"/>
      <c r="V33" s="462"/>
      <c r="W33" s="336"/>
      <c r="X33" s="469"/>
      <c r="Y33">
        <f t="shared" si="19"/>
        <v>0</v>
      </c>
      <c r="Z33" s="467">
        <f t="shared" si="20"/>
        <v>0</v>
      </c>
      <c r="AA33" s="1">
        <f t="shared" si="2"/>
        <v>0</v>
      </c>
      <c r="AB33" s="1">
        <f t="shared" si="3"/>
        <v>0</v>
      </c>
      <c r="AC33" s="1">
        <f t="shared" si="4"/>
        <v>0</v>
      </c>
      <c r="AD33" s="1">
        <f t="shared" si="5"/>
        <v>0</v>
      </c>
      <c r="AE33" s="1">
        <f t="shared" si="6"/>
        <v>0</v>
      </c>
      <c r="AF33" s="1">
        <f>IF(C33="Orlov",7.4*Stamoplysninger!$E$15,0)</f>
        <v>0</v>
      </c>
      <c r="AG33">
        <f>IF(AND(C33="Skema 1",B33="ma"),Arbejdstidsoversigt!$E$44,"")</f>
        <v>0</v>
      </c>
      <c r="AH33" t="str">
        <f>IF(AND(C33="Skema 1",B33="ti"),Arbejdstidsoversigt!$E$45,"")</f>
        <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1"/>
        <v>0</v>
      </c>
      <c r="BB33" s="233">
        <f t="shared" si="7"/>
        <v>0</v>
      </c>
      <c r="BC33" s="1">
        <f t="shared" si="22"/>
        <v>0</v>
      </c>
      <c r="BD33" s="1">
        <f t="shared" si="8"/>
        <v>0</v>
      </c>
      <c r="BE33" s="1">
        <f t="shared" si="9"/>
        <v>0</v>
      </c>
      <c r="BF33" s="1">
        <f t="shared" si="10"/>
        <v>0</v>
      </c>
      <c r="BG33" s="214">
        <f>IF(AND(C33="Skema 1",B33="ma"),Skemaoplysninger!$E$30,"")</f>
        <v>0</v>
      </c>
      <c r="BH33" s="214" t="str">
        <f>IF(AND(C33="Skema 1",B33="ti"),Skemaoplysninger!$F$30,"")</f>
        <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3"/>
        <v>0</v>
      </c>
      <c r="CB33" s="1">
        <f t="shared" si="11"/>
        <v>0</v>
      </c>
      <c r="CC33" s="1">
        <f t="shared" si="12"/>
        <v>0</v>
      </c>
      <c r="CD33" s="214">
        <f>IF(AND(C33="Skema 1",B33="ma"),Skemaoplysninger!$E$39,"")</f>
        <v>0</v>
      </c>
      <c r="CE33" s="214" t="str">
        <f>IF(AND(C33="Skema 1",B33="ti"),Skemaoplysninger!$F$39,"")</f>
        <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4"/>
        <v>0</v>
      </c>
      <c r="DH33" t="str">
        <f t="shared" si="25"/>
        <v/>
      </c>
      <c r="DI33">
        <f t="shared" si="26"/>
        <v>0</v>
      </c>
      <c r="DJ33">
        <f t="shared" si="27"/>
        <v>0</v>
      </c>
      <c r="DK33" t="str">
        <f t="shared" si="13"/>
        <v/>
      </c>
      <c r="DL33" t="str">
        <f t="shared" si="13"/>
        <v/>
      </c>
      <c r="DM33" t="str">
        <f t="shared" si="13"/>
        <v/>
      </c>
      <c r="DN33" t="str">
        <f t="shared" si="28"/>
        <v/>
      </c>
    </row>
    <row r="34" spans="1:118">
      <c r="A34" s="249">
        <f t="shared" si="15"/>
        <v>26</v>
      </c>
      <c r="B34" s="132" t="str">
        <f t="shared" si="0"/>
        <v>ti</v>
      </c>
      <c r="C34" s="133" t="s">
        <v>209</v>
      </c>
      <c r="D34" s="134" t="str">
        <f t="shared" si="1"/>
        <v/>
      </c>
      <c r="E34" s="871"/>
      <c r="F34" s="872"/>
      <c r="G34" s="873"/>
      <c r="H34" s="313"/>
      <c r="I34" s="582"/>
      <c r="J34" s="440"/>
      <c r="K34" s="405"/>
      <c r="L34" s="405"/>
      <c r="M34" s="405"/>
      <c r="N34" s="334">
        <f t="shared" si="16"/>
        <v>0</v>
      </c>
      <c r="O34" s="334">
        <f t="shared" si="17"/>
        <v>0</v>
      </c>
      <c r="P34" s="334">
        <f>IF(Stamoplysninger!$H$29="JA",September!DG34,CX34)</f>
        <v>0</v>
      </c>
      <c r="Q34" s="334">
        <f t="shared" si="18"/>
        <v>0</v>
      </c>
      <c r="R34" s="335"/>
      <c r="S34" s="341"/>
      <c r="T34" s="342"/>
      <c r="U34" s="342"/>
      <c r="V34" s="462"/>
      <c r="W34" s="336"/>
      <c r="X34" s="469"/>
      <c r="Y34">
        <f t="shared" si="19"/>
        <v>0</v>
      </c>
      <c r="Z34" s="467">
        <f t="shared" si="20"/>
        <v>0</v>
      </c>
      <c r="AA34" s="1">
        <f t="shared" si="2"/>
        <v>0</v>
      </c>
      <c r="AB34" s="1">
        <f t="shared" si="3"/>
        <v>0</v>
      </c>
      <c r="AC34" s="1">
        <f t="shared" si="4"/>
        <v>0</v>
      </c>
      <c r="AD34" s="1">
        <f t="shared" si="5"/>
        <v>0</v>
      </c>
      <c r="AE34" s="1">
        <f t="shared" si="6"/>
        <v>0</v>
      </c>
      <c r="AF34" s="1">
        <f>IF(C34="Orlov",7.4*Stamoplysninger!$E$15,0)</f>
        <v>0</v>
      </c>
      <c r="AG34" t="str">
        <f>IF(AND(C34="Skema 1",B34="ma"),Arbejdstidsoversigt!$E$44,"")</f>
        <v/>
      </c>
      <c r="AH34">
        <f>IF(AND(C34="Skema 1",B34="ti"),Arbejdstidsoversigt!$E$45,"")</f>
        <v>0</v>
      </c>
      <c r="AI34" t="str">
        <f>IF(AND(C34="Skema 1",B34="on"),Arbejdstidsoversigt!$E$46,"")</f>
        <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1"/>
        <v>0</v>
      </c>
      <c r="BB34" s="233">
        <f t="shared" si="7"/>
        <v>0</v>
      </c>
      <c r="BC34" s="1">
        <f t="shared" si="22"/>
        <v>0</v>
      </c>
      <c r="BD34" s="1">
        <f t="shared" si="8"/>
        <v>0</v>
      </c>
      <c r="BE34" s="1">
        <f t="shared" si="9"/>
        <v>0</v>
      </c>
      <c r="BF34" s="1">
        <f t="shared" si="10"/>
        <v>0</v>
      </c>
      <c r="BG34" s="214" t="str">
        <f>IF(AND(C34="Skema 1",B34="ma"),Skemaoplysninger!$E$30,"")</f>
        <v/>
      </c>
      <c r="BH34" s="214">
        <f>IF(AND(C34="Skema 1",B34="ti"),Skemaoplysninger!$F$30,"")</f>
        <v>0</v>
      </c>
      <c r="BI34" s="214" t="str">
        <f>IF(AND(C34="Skema 1",B34="on"),Skemaoplysninger!$G$30,"")</f>
        <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3"/>
        <v>0</v>
      </c>
      <c r="CB34" s="1">
        <f t="shared" si="11"/>
        <v>0</v>
      </c>
      <c r="CC34" s="1">
        <f t="shared" si="12"/>
        <v>0</v>
      </c>
      <c r="CD34" s="214" t="str">
        <f>IF(AND(C34="Skema 1",B34="ma"),Skemaoplysninger!$E$39,"")</f>
        <v/>
      </c>
      <c r="CE34" s="214">
        <f>IF(AND(C34="Skema 1",B34="ti"),Skemaoplysninger!$F$39,"")</f>
        <v>0</v>
      </c>
      <c r="CF34" s="214" t="str">
        <f>IF(AND(C34="Skema 1",B34="on"),Skemaoplysninger!$G$39,"")</f>
        <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4"/>
        <v>0</v>
      </c>
      <c r="DH34" t="str">
        <f t="shared" si="25"/>
        <v/>
      </c>
      <c r="DI34">
        <f t="shared" si="26"/>
        <v>0</v>
      </c>
      <c r="DJ34">
        <f t="shared" si="27"/>
        <v>0</v>
      </c>
      <c r="DK34" t="str">
        <f t="shared" si="13"/>
        <v/>
      </c>
      <c r="DL34" t="str">
        <f t="shared" si="13"/>
        <v/>
      </c>
      <c r="DM34" t="str">
        <f t="shared" si="13"/>
        <v/>
      </c>
      <c r="DN34" t="str">
        <f t="shared" si="28"/>
        <v/>
      </c>
    </row>
    <row r="35" spans="1:118">
      <c r="A35" s="249">
        <f t="shared" si="15"/>
        <v>27</v>
      </c>
      <c r="B35" s="132" t="str">
        <f t="shared" si="0"/>
        <v>on</v>
      </c>
      <c r="C35" s="133" t="s">
        <v>209</v>
      </c>
      <c r="D35" s="134" t="str">
        <f t="shared" si="1"/>
        <v/>
      </c>
      <c r="E35" s="871"/>
      <c r="F35" s="872"/>
      <c r="G35" s="873"/>
      <c r="H35" s="313"/>
      <c r="I35" s="582"/>
      <c r="J35" s="440"/>
      <c r="K35" s="405"/>
      <c r="L35" s="405"/>
      <c r="M35" s="405"/>
      <c r="N35" s="334">
        <f t="shared" si="16"/>
        <v>0</v>
      </c>
      <c r="O35" s="334">
        <f t="shared" si="17"/>
        <v>0</v>
      </c>
      <c r="P35" s="334">
        <f>IF(Stamoplysninger!$H$29="JA",September!DG35,CX35)</f>
        <v>0</v>
      </c>
      <c r="Q35" s="334">
        <f t="shared" si="18"/>
        <v>0</v>
      </c>
      <c r="R35" s="335"/>
      <c r="S35" s="341"/>
      <c r="T35" s="342"/>
      <c r="U35" s="342"/>
      <c r="V35" s="462"/>
      <c r="W35" s="336"/>
      <c r="X35" s="469"/>
      <c r="Y35">
        <f t="shared" si="19"/>
        <v>0</v>
      </c>
      <c r="Z35" s="467">
        <f t="shared" si="20"/>
        <v>0</v>
      </c>
      <c r="AA35" s="1">
        <f t="shared" si="2"/>
        <v>0</v>
      </c>
      <c r="AB35" s="1">
        <f t="shared" si="3"/>
        <v>0</v>
      </c>
      <c r="AC35" s="1">
        <f t="shared" si="4"/>
        <v>0</v>
      </c>
      <c r="AD35" s="1">
        <f t="shared" si="5"/>
        <v>0</v>
      </c>
      <c r="AE35" s="1">
        <f t="shared" si="6"/>
        <v>0</v>
      </c>
      <c r="AF35" s="1">
        <f>IF(C35="Orlov",7.4*Stamoplysninger!$E$15,0)</f>
        <v>0</v>
      </c>
      <c r="AG35" t="str">
        <f>IF(AND(C35="Skema 1",B35="ma"),Arbejdstidsoversigt!$E$44,"")</f>
        <v/>
      </c>
      <c r="AH35" t="str">
        <f>IF(AND(C35="Skema 1",B35="ti"),Arbejdstidsoversigt!$E$45,"")</f>
        <v/>
      </c>
      <c r="AI35">
        <f>IF(AND(C35="Skema 1",B35="on"),Arbejdstidsoversigt!$E$46,"")</f>
        <v>0</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1"/>
        <v>0</v>
      </c>
      <c r="BB35" s="233">
        <f t="shared" si="7"/>
        <v>0</v>
      </c>
      <c r="BC35" s="1">
        <f t="shared" si="22"/>
        <v>0</v>
      </c>
      <c r="BD35" s="1">
        <f t="shared" si="8"/>
        <v>0</v>
      </c>
      <c r="BE35" s="1">
        <f t="shared" si="9"/>
        <v>0</v>
      </c>
      <c r="BF35" s="1">
        <f t="shared" si="10"/>
        <v>0</v>
      </c>
      <c r="BG35" s="214" t="str">
        <f>IF(AND(C35="Skema 1",B35="ma"),Skemaoplysninger!$E$30,"")</f>
        <v/>
      </c>
      <c r="BH35" s="214" t="str">
        <f>IF(AND(C35="Skema 1",B35="ti"),Skemaoplysninger!$F$30,"")</f>
        <v/>
      </c>
      <c r="BI35" s="214">
        <f>IF(AND(C35="Skema 1",B35="on"),Skemaoplysninger!$G$30,"")</f>
        <v>0</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3"/>
        <v>0</v>
      </c>
      <c r="CB35" s="1">
        <f t="shared" si="11"/>
        <v>0</v>
      </c>
      <c r="CC35" s="1">
        <f t="shared" si="12"/>
        <v>0</v>
      </c>
      <c r="CD35" s="214" t="str">
        <f>IF(AND(C35="Skema 1",B35="ma"),Skemaoplysninger!$E$39,"")</f>
        <v/>
      </c>
      <c r="CE35" s="214" t="str">
        <f>IF(AND(C35="Skema 1",B35="ti"),Skemaoplysninger!$F$39,"")</f>
        <v/>
      </c>
      <c r="CF35" s="214">
        <f>IF(AND(C35="Skema 1",B35="on"),Skemaoplysninger!$G$39,"")</f>
        <v>0</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4"/>
        <v>0</v>
      </c>
      <c r="DH35" t="str">
        <f t="shared" si="25"/>
        <v/>
      </c>
      <c r="DI35">
        <f t="shared" si="26"/>
        <v>0</v>
      </c>
      <c r="DJ35">
        <f t="shared" si="27"/>
        <v>0</v>
      </c>
      <c r="DK35" t="str">
        <f t="shared" si="13"/>
        <v/>
      </c>
      <c r="DL35" t="str">
        <f t="shared" si="13"/>
        <v/>
      </c>
      <c r="DM35" t="str">
        <f t="shared" si="13"/>
        <v/>
      </c>
      <c r="DN35" t="str">
        <f t="shared" si="28"/>
        <v/>
      </c>
    </row>
    <row r="36" spans="1:118">
      <c r="A36" s="249">
        <f t="shared" si="15"/>
        <v>28</v>
      </c>
      <c r="B36" s="132" t="str">
        <f t="shared" si="0"/>
        <v>to</v>
      </c>
      <c r="C36" s="133" t="s">
        <v>209</v>
      </c>
      <c r="D36" s="134" t="str">
        <f t="shared" si="1"/>
        <v/>
      </c>
      <c r="E36" s="871"/>
      <c r="F36" s="872"/>
      <c r="G36" s="873"/>
      <c r="H36" s="313"/>
      <c r="I36" s="582"/>
      <c r="J36" s="440"/>
      <c r="K36" s="405"/>
      <c r="L36" s="405"/>
      <c r="M36" s="405"/>
      <c r="N36" s="334">
        <f t="shared" si="16"/>
        <v>0</v>
      </c>
      <c r="O36" s="334">
        <f t="shared" si="17"/>
        <v>0</v>
      </c>
      <c r="P36" s="334">
        <f>IF(Stamoplysninger!$H$29="JA",September!DG36,CX36)</f>
        <v>0</v>
      </c>
      <c r="Q36" s="334">
        <f t="shared" si="18"/>
        <v>0</v>
      </c>
      <c r="R36" s="335"/>
      <c r="S36" s="341"/>
      <c r="T36" s="342"/>
      <c r="U36" s="342"/>
      <c r="V36" s="462"/>
      <c r="W36" s="336"/>
      <c r="X36" s="469"/>
      <c r="Y36">
        <f t="shared" si="19"/>
        <v>0</v>
      </c>
      <c r="Z36" s="467">
        <f t="shared" si="20"/>
        <v>0</v>
      </c>
      <c r="AA36" s="1">
        <f t="shared" si="2"/>
        <v>0</v>
      </c>
      <c r="AB36" s="1">
        <f t="shared" si="3"/>
        <v>0</v>
      </c>
      <c r="AC36" s="1">
        <f t="shared" si="4"/>
        <v>0</v>
      </c>
      <c r="AD36" s="1">
        <f t="shared" si="5"/>
        <v>0</v>
      </c>
      <c r="AE36" s="1">
        <f t="shared" si="6"/>
        <v>0</v>
      </c>
      <c r="AF36" s="1">
        <f>IF(C36="Orlov",7.4*Stamoplysninger!$E$15,0)</f>
        <v>0</v>
      </c>
      <c r="AG36" t="str">
        <f>IF(AND(C36="Skema 1",B36="ma"),Arbejdstidsoversigt!$E$44,"")</f>
        <v/>
      </c>
      <c r="AH36" t="str">
        <f>IF(AND(C36="Skema 1",B36="ti"),Arbejdstidsoversigt!$E$45,"")</f>
        <v/>
      </c>
      <c r="AI36" t="str">
        <f>IF(AND(C36="Skema 1",B36="on"),Arbejdstidsoversigt!$E$46,"")</f>
        <v/>
      </c>
      <c r="AJ36">
        <f>IF(AND(C36="Skema 1",B36="to"),Arbejdstidsoversigt!$E$47,"")</f>
        <v>0</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1"/>
        <v>0</v>
      </c>
      <c r="BB36" s="233">
        <f t="shared" si="7"/>
        <v>0</v>
      </c>
      <c r="BC36" s="1">
        <f t="shared" si="22"/>
        <v>0</v>
      </c>
      <c r="BD36" s="1">
        <f t="shared" si="8"/>
        <v>0</v>
      </c>
      <c r="BE36" s="1">
        <f t="shared" si="9"/>
        <v>0</v>
      </c>
      <c r="BF36" s="1">
        <f t="shared" si="10"/>
        <v>0</v>
      </c>
      <c r="BG36" s="214" t="str">
        <f>IF(AND(C36="Skema 1",B36="ma"),Skemaoplysninger!$E$30,"")</f>
        <v/>
      </c>
      <c r="BH36" s="214" t="str">
        <f>IF(AND(C36="Skema 1",B36="ti"),Skemaoplysninger!$F$30,"")</f>
        <v/>
      </c>
      <c r="BI36" s="214" t="str">
        <f>IF(AND(C36="Skema 1",B36="on"),Skemaoplysninger!$G$30,"")</f>
        <v/>
      </c>
      <c r="BJ36" s="214">
        <f>IF(AND(C36="Skema 1",B36="to"),Skemaoplysninger!$H$30,"")</f>
        <v>0</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3"/>
        <v>0</v>
      </c>
      <c r="CB36" s="1">
        <f t="shared" si="11"/>
        <v>0</v>
      </c>
      <c r="CC36" s="1">
        <f t="shared" si="12"/>
        <v>0</v>
      </c>
      <c r="CD36" s="214" t="str">
        <f>IF(AND(C36="Skema 1",B36="ma"),Skemaoplysninger!$E$39,"")</f>
        <v/>
      </c>
      <c r="CE36" s="214" t="str">
        <f>IF(AND(C36="Skema 1",B36="ti"),Skemaoplysninger!$F$39,"")</f>
        <v/>
      </c>
      <c r="CF36" s="214" t="str">
        <f>IF(AND(C36="Skema 1",B36="on"),Skemaoplysninger!$G$39,"")</f>
        <v/>
      </c>
      <c r="CG36" s="214">
        <f>IF(AND(C36="Skema 1",B36="to"),Skemaoplysninger!$H$39,"")</f>
        <v>0</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4"/>
        <v>0</v>
      </c>
      <c r="DH36" t="str">
        <f t="shared" si="25"/>
        <v/>
      </c>
      <c r="DI36">
        <f t="shared" si="26"/>
        <v>0</v>
      </c>
      <c r="DJ36">
        <f t="shared" si="27"/>
        <v>0</v>
      </c>
      <c r="DK36" t="str">
        <f t="shared" si="13"/>
        <v/>
      </c>
      <c r="DL36" t="str">
        <f t="shared" si="13"/>
        <v/>
      </c>
      <c r="DM36" t="str">
        <f t="shared" si="13"/>
        <v/>
      </c>
      <c r="DN36" t="str">
        <f t="shared" si="28"/>
        <v/>
      </c>
    </row>
    <row r="37" spans="1:118">
      <c r="A37" s="249">
        <f>IF(ISNUMBER(A36),A36+1,1)</f>
        <v>29</v>
      </c>
      <c r="B37" s="132" t="str">
        <f t="shared" si="0"/>
        <v>fr</v>
      </c>
      <c r="C37" s="133" t="s">
        <v>209</v>
      </c>
      <c r="D37" s="134" t="str">
        <f t="shared" si="1"/>
        <v/>
      </c>
      <c r="E37" s="871"/>
      <c r="F37" s="872"/>
      <c r="G37" s="873"/>
      <c r="H37" s="313"/>
      <c r="I37" s="582"/>
      <c r="J37" s="440"/>
      <c r="K37" s="405"/>
      <c r="L37" s="405"/>
      <c r="M37" s="405"/>
      <c r="N37" s="334">
        <f t="shared" si="16"/>
        <v>0</v>
      </c>
      <c r="O37" s="334">
        <f t="shared" si="17"/>
        <v>0</v>
      </c>
      <c r="P37" s="334">
        <f>IF(Stamoplysninger!$H$29="JA",September!DG37,CX37)</f>
        <v>0</v>
      </c>
      <c r="Q37" s="334">
        <f t="shared" si="18"/>
        <v>0</v>
      </c>
      <c r="R37" s="335"/>
      <c r="S37" s="341"/>
      <c r="T37" s="342"/>
      <c r="U37" s="342"/>
      <c r="V37" s="462"/>
      <c r="W37" s="336"/>
      <c r="X37" s="469"/>
      <c r="Y37">
        <f t="shared" si="19"/>
        <v>0</v>
      </c>
      <c r="Z37" s="467">
        <f t="shared" si="20"/>
        <v>0</v>
      </c>
      <c r="AA37" s="1">
        <f t="shared" si="2"/>
        <v>0</v>
      </c>
      <c r="AB37" s="1">
        <f t="shared" si="3"/>
        <v>0</v>
      </c>
      <c r="AC37" s="1">
        <f t="shared" si="4"/>
        <v>0</v>
      </c>
      <c r="AD37" s="1">
        <f t="shared" si="5"/>
        <v>0</v>
      </c>
      <c r="AE37" s="1">
        <f t="shared" si="6"/>
        <v>0</v>
      </c>
      <c r="AF37" s="1">
        <f>IF(C37="Orlov",7.4*Stamoplysninger!$E$15,0)</f>
        <v>0</v>
      </c>
      <c r="AG37" t="str">
        <f>IF(AND(C37="Skema 1",B37="ma"),Arbejdstidsoversigt!$E$44,"")</f>
        <v/>
      </c>
      <c r="AH37" t="str">
        <f>IF(AND(C37="Skema 1",B37="ti"),Arbejdstidsoversigt!$E$45,"")</f>
        <v/>
      </c>
      <c r="AI37" t="str">
        <f>IF(AND(C37="Skema 1",B37="on"),Arbejdstidsoversigt!$E$46,"")</f>
        <v/>
      </c>
      <c r="AJ37" t="str">
        <f>IF(AND(C37="Skema 1",B37="to"),Arbejdstidsoversigt!$E$47,"")</f>
        <v/>
      </c>
      <c r="AK37">
        <f>IF(AND(C37="Skema 1",B37="fr"),Arbejdstidsoversigt!$E$48,"")</f>
        <v>0</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1"/>
        <v>0</v>
      </c>
      <c r="BB37" s="233">
        <f t="shared" si="7"/>
        <v>0</v>
      </c>
      <c r="BC37" s="1">
        <f t="shared" si="22"/>
        <v>0</v>
      </c>
      <c r="BD37" s="1">
        <f t="shared" si="8"/>
        <v>0</v>
      </c>
      <c r="BE37" s="1">
        <f t="shared" si="9"/>
        <v>0</v>
      </c>
      <c r="BF37" s="1">
        <f t="shared" si="10"/>
        <v>0</v>
      </c>
      <c r="BG37" s="214" t="str">
        <f>IF(AND(C37="Skema 1",B37="ma"),Skemaoplysninger!$E$30,"")</f>
        <v/>
      </c>
      <c r="BH37" s="214" t="str">
        <f>IF(AND(C37="Skema 1",B37="ti"),Skemaoplysninger!$F$30,"")</f>
        <v/>
      </c>
      <c r="BI37" s="214" t="str">
        <f>IF(AND(C37="Skema 1",B37="on"),Skemaoplysninger!$G$30,"")</f>
        <v/>
      </c>
      <c r="BJ37" s="214" t="str">
        <f>IF(AND(C37="Skema 1",B37="to"),Skemaoplysninger!$H$30,"")</f>
        <v/>
      </c>
      <c r="BK37" s="214">
        <f>IF(AND(C37="Skema 1",B37="fr"),Skemaoplysninger!$I$30,"")</f>
        <v>0</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3"/>
        <v>0</v>
      </c>
      <c r="CB37" s="1">
        <f t="shared" si="11"/>
        <v>0</v>
      </c>
      <c r="CC37" s="1">
        <f t="shared" si="12"/>
        <v>0</v>
      </c>
      <c r="CD37" s="214" t="str">
        <f>IF(AND(C37="Skema 1",B37="ma"),Skemaoplysninger!$E$39,"")</f>
        <v/>
      </c>
      <c r="CE37" s="214" t="str">
        <f>IF(AND(C37="Skema 1",B37="ti"),Skemaoplysninger!$F$39,"")</f>
        <v/>
      </c>
      <c r="CF37" s="214" t="str">
        <f>IF(AND(C37="Skema 1",B37="on"),Skemaoplysninger!$G$39,"")</f>
        <v/>
      </c>
      <c r="CG37" s="214" t="str">
        <f>IF(AND(C37="Skema 1",B37="to"),Skemaoplysninger!$H$39,"")</f>
        <v/>
      </c>
      <c r="CH37" s="214">
        <f>IF(AND(C37="Skema 1",B37="fr"),Skemaoplysninger!$I$39,"")</f>
        <v>0</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4"/>
        <v>0</v>
      </c>
      <c r="DH37" t="str">
        <f t="shared" si="25"/>
        <v/>
      </c>
      <c r="DI37">
        <f t="shared" si="26"/>
        <v>0</v>
      </c>
      <c r="DJ37">
        <f t="shared" si="27"/>
        <v>0</v>
      </c>
      <c r="DK37" t="str">
        <f t="shared" si="13"/>
        <v/>
      </c>
      <c r="DL37" t="str">
        <f t="shared" si="13"/>
        <v/>
      </c>
      <c r="DM37" t="str">
        <f t="shared" si="13"/>
        <v/>
      </c>
      <c r="DN37" t="str">
        <f t="shared" si="28"/>
        <v/>
      </c>
    </row>
    <row r="38" spans="1:118">
      <c r="A38" s="249">
        <f t="shared" si="15"/>
        <v>30</v>
      </c>
      <c r="B38" s="132" t="str">
        <f t="shared" si="0"/>
        <v>lø</v>
      </c>
      <c r="C38" s="133" t="s">
        <v>121</v>
      </c>
      <c r="D38" s="134" t="str">
        <f t="shared" si="1"/>
        <v/>
      </c>
      <c r="E38" s="871"/>
      <c r="F38" s="872"/>
      <c r="G38" s="873"/>
      <c r="H38" s="313"/>
      <c r="I38" s="440"/>
      <c r="J38" s="440"/>
      <c r="K38" s="405"/>
      <c r="L38" s="405"/>
      <c r="M38" s="405"/>
      <c r="N38" s="334">
        <f t="shared" si="16"/>
        <v>0</v>
      </c>
      <c r="O38" s="334">
        <f t="shared" si="17"/>
        <v>0</v>
      </c>
      <c r="P38" s="334">
        <f>IF(Stamoplysninger!$H$29="JA",September!DG38,CX38)</f>
        <v>0</v>
      </c>
      <c r="Q38" s="334">
        <f t="shared" si="18"/>
        <v>0</v>
      </c>
      <c r="R38" s="335"/>
      <c r="S38" s="341"/>
      <c r="T38" s="342"/>
      <c r="U38" s="342"/>
      <c r="V38" s="462"/>
      <c r="W38" s="336"/>
      <c r="X38" s="469"/>
      <c r="Y38">
        <f t="shared" si="19"/>
        <v>0</v>
      </c>
      <c r="Z38" s="467">
        <f t="shared" si="20"/>
        <v>0</v>
      </c>
      <c r="AA38" s="1">
        <f t="shared" si="2"/>
        <v>0</v>
      </c>
      <c r="AB38" s="1">
        <f t="shared" si="3"/>
        <v>0</v>
      </c>
      <c r="AC38" s="1">
        <f t="shared" si="4"/>
        <v>0</v>
      </c>
      <c r="AD38" s="1">
        <f t="shared" si="5"/>
        <v>0</v>
      </c>
      <c r="AE38" s="1">
        <f t="shared" si="6"/>
        <v>0</v>
      </c>
      <c r="AF38" s="1">
        <f>IF(C38="Orlov",7.4*Stamoplysninger!$E$15,0)</f>
        <v>0</v>
      </c>
      <c r="AG38" t="str">
        <f>IF(AND(C38="Skema 1",B38="ma"),Arbejdstidsoversigt!$E$44,"")</f>
        <v/>
      </c>
      <c r="AH38" t="str">
        <f>IF(AND(C38="Skema 1",B38="ti"),Arbejdstidsoversigt!$E$45,"")</f>
        <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SUM(AA38:AZ38)</f>
        <v>0</v>
      </c>
      <c r="BB38" s="233">
        <f t="shared" si="7"/>
        <v>0</v>
      </c>
      <c r="BC38" s="1">
        <f t="shared" si="22"/>
        <v>0</v>
      </c>
      <c r="BD38" s="1">
        <f t="shared" si="8"/>
        <v>0</v>
      </c>
      <c r="BE38" s="1">
        <f t="shared" si="9"/>
        <v>0</v>
      </c>
      <c r="BF38" s="1">
        <f t="shared" si="10"/>
        <v>0</v>
      </c>
      <c r="BG38" s="214" t="str">
        <f>IF(AND(C38="Skema 1",B38="ma"),Skemaoplysninger!$E$30,"")</f>
        <v/>
      </c>
      <c r="BH38" s="214" t="str">
        <f>IF(AND(C38="Skema 1",B38="ti"),Skemaoplysninger!$F$30,"")</f>
        <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3",B38="ti"),Arbejdstidsoversigt!#REF!,"")</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3"/>
        <v>0</v>
      </c>
      <c r="CB38" s="1">
        <f t="shared" si="11"/>
        <v>0</v>
      </c>
      <c r="CC38" s="1">
        <f t="shared" si="12"/>
        <v>0</v>
      </c>
      <c r="CD38" s="214" t="str">
        <f>IF(AND(C38="Skema 1",B38="ma"),Skemaoplysninger!$E$39,"")</f>
        <v/>
      </c>
      <c r="CE38" s="214" t="str">
        <f>IF(AND(C38="Skema 1",B38="ti"),Skemaoplysninger!$F$39,"")</f>
        <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4"/>
        <v>0</v>
      </c>
      <c r="DH38" t="str">
        <f t="shared" si="25"/>
        <v/>
      </c>
      <c r="DI38">
        <f t="shared" si="26"/>
        <v>0</v>
      </c>
      <c r="DJ38">
        <f t="shared" si="27"/>
        <v>0</v>
      </c>
      <c r="DK38" t="str">
        <f t="shared" si="13"/>
        <v/>
      </c>
      <c r="DL38" t="str">
        <f t="shared" si="13"/>
        <v/>
      </c>
      <c r="DM38" t="str">
        <f t="shared" si="13"/>
        <v/>
      </c>
      <c r="DN38" t="str">
        <f t="shared" si="28"/>
        <v/>
      </c>
    </row>
    <row r="39" spans="1:118" ht="17" thickBot="1">
      <c r="A39" s="889" t="s">
        <v>263</v>
      </c>
      <c r="B39" s="890"/>
      <c r="C39" s="890"/>
      <c r="D39" s="890"/>
      <c r="E39" s="890"/>
      <c r="F39" s="890"/>
      <c r="G39" s="890"/>
      <c r="H39" s="890"/>
      <c r="I39" s="891"/>
      <c r="J39" s="329"/>
      <c r="K39" s="339"/>
      <c r="L39" s="339"/>
      <c r="M39" s="339"/>
      <c r="N39" s="339">
        <f t="shared" ref="N39:Q39" si="29">SUM(N9:N38)</f>
        <v>0</v>
      </c>
      <c r="O39" s="339">
        <f t="shared" si="29"/>
        <v>0</v>
      </c>
      <c r="P39" s="339">
        <f t="shared" si="29"/>
        <v>0</v>
      </c>
      <c r="Q39" s="339">
        <f t="shared" si="29"/>
        <v>0</v>
      </c>
      <c r="R39" s="355">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0</v>
      </c>
      <c r="S39" s="459"/>
      <c r="T39" s="460"/>
      <c r="U39" s="460"/>
      <c r="V39" s="460">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60">
        <f t="shared" ref="W39" si="30">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61">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5">
        <f>SUM(Y9:Y38)</f>
        <v>0</v>
      </c>
      <c r="Z39" s="425">
        <f>Z9+Z10+Z11+Z12+Z13+Z14+Z15+Z16+Z17+Z18+Z19+Z20+Z21+Z22+Z23+Z24+Z25+Z26+Z27+Z28+Z29+Z30+Z31+Z32+Z33+Z34+Z35+Z36+Z37+Z38</f>
        <v>0</v>
      </c>
      <c r="AA39" s="239">
        <f t="shared" ref="AA39:AF39" si="31">SUM(AA9:AA38)</f>
        <v>0</v>
      </c>
      <c r="AB39" s="239">
        <f t="shared" si="31"/>
        <v>0</v>
      </c>
      <c r="AC39" s="239">
        <f t="shared" si="31"/>
        <v>0</v>
      </c>
      <c r="AD39" s="239">
        <f t="shared" si="31"/>
        <v>0</v>
      </c>
      <c r="AE39" s="239">
        <f t="shared" si="31"/>
        <v>0</v>
      </c>
      <c r="AF39" s="239">
        <f t="shared" si="31"/>
        <v>0</v>
      </c>
      <c r="BA39" s="1">
        <f>SUM(BA9:BA38)</f>
        <v>0</v>
      </c>
      <c r="BB39" s="116"/>
      <c r="BC39" s="239">
        <f>SUM(BC9:BC38)</f>
        <v>0</v>
      </c>
      <c r="BD39" s="239">
        <f>SUM(BD9:BD38)</f>
        <v>0</v>
      </c>
      <c r="BE39" s="239">
        <f>SUM(BE9:BE38)</f>
        <v>0</v>
      </c>
      <c r="BF39" s="239">
        <f>SUM(BF9:BF38)</f>
        <v>0</v>
      </c>
      <c r="CA39" s="239">
        <f>SUM(CA9:CA38)</f>
        <v>0</v>
      </c>
      <c r="CB39" s="239">
        <f>SUM(CB9:CB38)</f>
        <v>0</v>
      </c>
      <c r="CC39" s="239">
        <f>SUM(CC9:CC38)</f>
        <v>0</v>
      </c>
      <c r="CX39" s="254"/>
      <c r="CY39" s="254">
        <f t="shared" ref="CY39:DG39" si="32">SUM(CY9:CY38)</f>
        <v>0</v>
      </c>
      <c r="CZ39" s="254">
        <f t="shared" si="32"/>
        <v>0</v>
      </c>
      <c r="DA39" s="254">
        <f t="shared" si="32"/>
        <v>0</v>
      </c>
      <c r="DB39" s="254">
        <f t="shared" si="32"/>
        <v>0</v>
      </c>
      <c r="DC39" s="254">
        <f t="shared" si="32"/>
        <v>0</v>
      </c>
      <c r="DD39" s="254">
        <f t="shared" si="32"/>
        <v>0</v>
      </c>
      <c r="DE39" s="254">
        <f t="shared" si="32"/>
        <v>0</v>
      </c>
      <c r="DF39" s="254">
        <f t="shared" si="32"/>
        <v>0</v>
      </c>
      <c r="DG39" s="254">
        <f t="shared" si="32"/>
        <v>0</v>
      </c>
      <c r="DH39" t="str">
        <f t="shared" si="25"/>
        <v/>
      </c>
      <c r="DK39" t="str">
        <f t="shared" si="13"/>
        <v/>
      </c>
      <c r="DL39" t="str">
        <f t="shared" si="13"/>
        <v/>
      </c>
      <c r="DM39" t="str">
        <f t="shared" si="13"/>
        <v/>
      </c>
      <c r="DN39" t="str">
        <f t="shared" ref="DN39" si="33">DK39&amp;" "&amp;DL39&amp;" "&amp;DM39</f>
        <v xml:space="preserve">  </v>
      </c>
    </row>
    <row r="40" spans="1:118" ht="17" thickBot="1">
      <c r="A40" s="236"/>
      <c r="B40" s="236"/>
      <c r="C40" s="236"/>
      <c r="D40" s="236"/>
      <c r="E40" s="236"/>
      <c r="F40" s="236"/>
      <c r="G40" s="236"/>
      <c r="H40" s="236"/>
      <c r="I40" s="236"/>
      <c r="J40" s="236"/>
      <c r="K40" s="243"/>
      <c r="L40" s="243"/>
      <c r="M40" s="243"/>
      <c r="N40" s="243"/>
      <c r="O40" s="243"/>
      <c r="P40" s="243"/>
      <c r="Q40" s="243"/>
      <c r="R40" s="243"/>
      <c r="S40" s="243"/>
      <c r="T40" s="243"/>
      <c r="U40" s="243"/>
      <c r="V40" s="243"/>
      <c r="W40" s="243"/>
      <c r="X40" s="243"/>
      <c r="Y40" s="252"/>
      <c r="Z40" s="215"/>
      <c r="AA40" s="239"/>
      <c r="AB40" s="215"/>
      <c r="AC40" s="215"/>
      <c r="AD40" s="239"/>
      <c r="AE40" s="239"/>
      <c r="AF40" s="239"/>
      <c r="AG40" s="239"/>
      <c r="BC40" s="239"/>
      <c r="BD40" s="239"/>
      <c r="BE40" s="239"/>
      <c r="BF40" s="239"/>
      <c r="BG40" s="116"/>
      <c r="CB40" s="239"/>
      <c r="CC40" s="239"/>
      <c r="CD40" s="116"/>
      <c r="CX40" s="253"/>
      <c r="CZ40"/>
    </row>
    <row r="41" spans="1:118" ht="70" customHeight="1">
      <c r="A41" s="875" t="str">
        <f>"Arbejdstid for "&amp;A7&amp;" måned:"</f>
        <v>Arbejdstid for September måned:</v>
      </c>
      <c r="B41" s="876"/>
      <c r="C41" s="876"/>
      <c r="D41" s="876"/>
      <c r="E41" s="876"/>
      <c r="F41" s="876"/>
      <c r="G41" s="876"/>
      <c r="H41" s="347" t="s">
        <v>258</v>
      </c>
      <c r="I41" s="876" t="s">
        <v>224</v>
      </c>
      <c r="J41" s="877"/>
      <c r="K41" s="878"/>
      <c r="L41" s="267"/>
      <c r="M41" s="843" t="str">
        <f>"Ulempetimer og weekendtimer i "&amp;A5&amp;""</f>
        <v>Ulempetimer og weekendtimer i September måneds kalender for: . Måneden vedr. normperioden:  - .</v>
      </c>
      <c r="N41" s="844"/>
      <c r="O41" s="844"/>
      <c r="P41" s="844"/>
      <c r="Q41" s="844"/>
      <c r="R41" s="844"/>
      <c r="S41" s="844"/>
      <c r="T41" s="844"/>
      <c r="U41" s="844"/>
      <c r="V41" s="844"/>
      <c r="W41" s="844"/>
      <c r="X41" s="845"/>
      <c r="Y41" s="217"/>
      <c r="Z41" s="243"/>
      <c r="AA41" s="243"/>
      <c r="AB41" s="243"/>
      <c r="AG41" s="94"/>
      <c r="AH41" s="94"/>
      <c r="BO41" s="1"/>
      <c r="CL41" s="1"/>
      <c r="CW41" s="253"/>
      <c r="CX41" s="253"/>
      <c r="CY41"/>
      <c r="CZ41"/>
    </row>
    <row r="42" spans="1:118">
      <c r="A42" s="879" t="s">
        <v>601</v>
      </c>
      <c r="B42" s="880"/>
      <c r="C42" s="880"/>
      <c r="D42" s="880"/>
      <c r="E42" s="880"/>
      <c r="F42" s="880"/>
      <c r="G42" s="880"/>
      <c r="H42" s="261">
        <f>D77</f>
        <v>21</v>
      </c>
      <c r="I42" s="892">
        <f>IF(Stamoplysninger!$E$12="Ja",1924/Arbejdstidsoversigt!$K$9*Stamoplysninger!$E$15*$H$42,H42*7.4*Stamoplysninger!$E$15)</f>
        <v>0</v>
      </c>
      <c r="J42" s="893"/>
      <c r="K42" s="894"/>
      <c r="L42" s="263"/>
      <c r="M42" s="846" t="s">
        <v>550</v>
      </c>
      <c r="N42" s="847"/>
      <c r="O42" s="847"/>
      <c r="P42" s="847"/>
      <c r="Q42" s="847"/>
      <c r="R42" s="847"/>
      <c r="S42" s="847"/>
      <c r="T42" s="847"/>
      <c r="U42" s="848"/>
      <c r="V42" s="990">
        <f>M72+S71+T71+M75+M79+M73+N72+N79</f>
        <v>0</v>
      </c>
      <c r="W42" s="990"/>
      <c r="X42" s="991"/>
      <c r="Y42" s="243"/>
      <c r="Z42" s="243"/>
      <c r="AA42" s="243"/>
      <c r="AB42" s="243"/>
      <c r="AG42" s="94"/>
      <c r="AH42" s="94"/>
      <c r="BO42" s="1"/>
      <c r="CL42" s="1"/>
      <c r="CW42" s="253"/>
      <c r="CX42" s="253"/>
      <c r="CY42"/>
      <c r="CZ42"/>
    </row>
    <row r="43" spans="1:118">
      <c r="A43" s="879" t="str">
        <f>"Ferie "&amp;A7&amp;" måned"</f>
        <v>Ferie September måned</v>
      </c>
      <c r="B43" s="880"/>
      <c r="C43" s="880"/>
      <c r="D43" s="880"/>
      <c r="E43" s="880"/>
      <c r="F43" s="880"/>
      <c r="G43" s="880"/>
      <c r="H43" s="262" t="str">
        <f>IF(D72&gt;0,$D$72,"0")</f>
        <v>0</v>
      </c>
      <c r="I43" s="881">
        <f>H43*7.4*Stamoplysninger!$E$15</f>
        <v>0</v>
      </c>
      <c r="J43" s="882"/>
      <c r="K43" s="883"/>
      <c r="L43" s="263"/>
      <c r="M43" s="996" t="s">
        <v>262</v>
      </c>
      <c r="N43" s="997"/>
      <c r="O43" s="997"/>
      <c r="P43" s="997"/>
      <c r="Q43" s="997"/>
      <c r="R43" s="997"/>
      <c r="S43" s="997"/>
      <c r="T43" s="997"/>
      <c r="U43" s="997"/>
      <c r="V43" s="992">
        <f>M71+S70+T70+M74+M78+M70+N70+N78</f>
        <v>0</v>
      </c>
      <c r="W43" s="992"/>
      <c r="X43" s="993"/>
      <c r="Y43" s="243"/>
      <c r="Z43" s="243"/>
      <c r="AA43" s="243"/>
      <c r="AB43" s="243"/>
      <c r="AG43" s="94"/>
      <c r="AH43" s="94"/>
      <c r="BO43" s="1"/>
      <c r="CL43" s="1"/>
      <c r="CW43" s="253"/>
      <c r="CX43" s="253"/>
      <c r="CY43"/>
      <c r="CZ43"/>
    </row>
    <row r="44" spans="1:118">
      <c r="A44" s="879" t="str">
        <f>"Søgnehelligdage i "&amp;A7&amp;" måned"</f>
        <v>Søgnehelligdage i September måned</v>
      </c>
      <c r="B44" s="880"/>
      <c r="C44" s="880"/>
      <c r="D44" s="880"/>
      <c r="E44" s="880"/>
      <c r="F44" s="880"/>
      <c r="G44" s="880"/>
      <c r="H44" s="262">
        <f>IF(D71&gt;0,D71,0)</f>
        <v>0</v>
      </c>
      <c r="I44" s="881">
        <f>H44*7.4*Stamoplysninger!$E$15</f>
        <v>0</v>
      </c>
      <c r="J44" s="882"/>
      <c r="K44" s="883"/>
      <c r="L44" s="264"/>
      <c r="M44" s="858" t="s">
        <v>301</v>
      </c>
      <c r="N44" s="859"/>
      <c r="O44" s="859"/>
      <c r="P44" s="859"/>
      <c r="Q44" s="859"/>
      <c r="R44" s="859"/>
      <c r="S44" s="859"/>
      <c r="T44" s="859"/>
      <c r="U44" s="859"/>
      <c r="V44" s="994">
        <f>August!V54</f>
        <v>0</v>
      </c>
      <c r="W44" s="994"/>
      <c r="X44" s="995"/>
      <c r="Y44" s="243"/>
      <c r="Z44" s="243"/>
      <c r="AA44" s="243"/>
      <c r="AB44" s="243"/>
      <c r="AG44" s="94"/>
      <c r="AH44" s="94"/>
      <c r="BO44" s="1"/>
      <c r="CL44" s="1"/>
      <c r="CW44" s="253"/>
      <c r="CX44" s="253"/>
      <c r="CY44"/>
      <c r="CZ44"/>
    </row>
    <row r="45" spans="1:118">
      <c r="A45" s="879" t="str">
        <f>"Nettoarbejdstid ialt i "&amp;A7&amp;" måned"</f>
        <v>Nettoarbejdstid ialt i September måned</v>
      </c>
      <c r="B45" s="880"/>
      <c r="C45" s="880"/>
      <c r="D45" s="880"/>
      <c r="E45" s="880"/>
      <c r="F45" s="880"/>
      <c r="G45" s="880"/>
      <c r="H45" s="265">
        <f>H42-H43-H44</f>
        <v>21</v>
      </c>
      <c r="I45" s="881">
        <f>I42-I43-I44</f>
        <v>0</v>
      </c>
      <c r="J45" s="882"/>
      <c r="K45" s="883"/>
      <c r="L45" s="264"/>
      <c r="M45" s="983" t="s">
        <v>308</v>
      </c>
      <c r="N45" s="984"/>
      <c r="O45" s="984"/>
      <c r="P45" s="984"/>
      <c r="Q45" s="984"/>
      <c r="R45" s="984"/>
      <c r="S45" s="984"/>
      <c r="T45" s="984"/>
      <c r="U45" s="984"/>
      <c r="V45" s="976">
        <f>V43+V44</f>
        <v>0</v>
      </c>
      <c r="W45" s="976"/>
      <c r="X45" s="977"/>
      <c r="Y45" s="243"/>
      <c r="Z45" s="243"/>
      <c r="AA45" s="243"/>
      <c r="AB45" s="243"/>
      <c r="AG45" s="94"/>
      <c r="AH45" s="94"/>
      <c r="BO45" s="1"/>
      <c r="CL45" s="1"/>
      <c r="CW45" s="253"/>
      <c r="CX45" s="253"/>
      <c r="CY45"/>
      <c r="CZ45"/>
    </row>
    <row r="46" spans="1:118">
      <c r="A46" s="895" t="str">
        <f>"Planlagt arbejdstid efter ovennstående "&amp;A7&amp;" måned kalender"</f>
        <v>Planlagt arbejdstid efter ovennstående September måned kalender</v>
      </c>
      <c r="B46" s="896"/>
      <c r="C46" s="896"/>
      <c r="D46" s="896"/>
      <c r="E46" s="896"/>
      <c r="F46" s="896"/>
      <c r="G46" s="896"/>
      <c r="H46" s="521">
        <f>D63+D64+D65+D66+D67+D68+D69</f>
        <v>21</v>
      </c>
      <c r="I46" s="897">
        <f>N39+R39-J66</f>
        <v>0</v>
      </c>
      <c r="J46" s="834"/>
      <c r="K46" s="898"/>
      <c r="L46" s="264"/>
      <c r="M46" s="980" t="s">
        <v>299</v>
      </c>
      <c r="N46" s="981"/>
      <c r="O46" s="981"/>
      <c r="P46" s="981"/>
      <c r="Q46" s="981"/>
      <c r="R46" s="981"/>
      <c r="S46" s="981"/>
      <c r="T46" s="981"/>
      <c r="U46" s="981"/>
      <c r="V46" s="981"/>
      <c r="W46" s="981"/>
      <c r="X46" s="982"/>
      <c r="Y46" s="243"/>
      <c r="Z46" s="243"/>
      <c r="AA46" s="243"/>
      <c r="AB46" s="243"/>
      <c r="AG46" s="94"/>
      <c r="AH46" s="94"/>
      <c r="BO46" s="1"/>
      <c r="CL46" s="1"/>
      <c r="CW46" s="253"/>
      <c r="CX46" s="253"/>
      <c r="CY46"/>
      <c r="CZ46"/>
    </row>
    <row r="47" spans="1:118">
      <c r="A47" s="902" t="str">
        <f>August!A49</f>
        <v>Heraf planlagte weekendtimer til afspadsering, udbetaling eller hvor der er indgået lokalaftale</v>
      </c>
      <c r="B47" s="903"/>
      <c r="C47" s="903"/>
      <c r="D47" s="903"/>
      <c r="E47" s="903"/>
      <c r="F47" s="903"/>
      <c r="G47" s="903"/>
      <c r="H47" s="904"/>
      <c r="I47" s="899">
        <f>(M70+M72+M80+M82+M76+M77+M81)*-1</f>
        <v>0</v>
      </c>
      <c r="J47" s="900"/>
      <c r="K47" s="901"/>
      <c r="L47" s="260"/>
      <c r="M47" s="985" t="s">
        <v>506</v>
      </c>
      <c r="N47" s="986"/>
      <c r="O47" s="986"/>
      <c r="P47" s="986"/>
      <c r="Q47" s="986"/>
      <c r="R47" s="986"/>
      <c r="S47" s="986"/>
      <c r="T47" s="986"/>
      <c r="U47" s="986"/>
      <c r="V47" s="978" t="s">
        <v>224</v>
      </c>
      <c r="W47" s="978"/>
      <c r="X47" s="979"/>
      <c r="Y47" s="243"/>
      <c r="Z47" s="243"/>
      <c r="AA47" s="243"/>
      <c r="AB47" s="243"/>
      <c r="AG47" s="94"/>
      <c r="AH47" s="94"/>
      <c r="BO47" s="1"/>
      <c r="CL47" s="1"/>
      <c r="CW47" s="253"/>
      <c r="CX47" s="253"/>
      <c r="CY47"/>
      <c r="CZ47"/>
    </row>
    <row r="48" spans="1:118">
      <c r="A48" s="837" t="str">
        <f>"Arbejde særligt planlagt for "&amp;A7&amp;" måned efter fanen skemaoplysninger"</f>
        <v>Arbejde særligt planlagt for September måned efter fanen skemaoplysninger</v>
      </c>
      <c r="B48" s="838"/>
      <c r="C48" s="838"/>
      <c r="D48" s="838"/>
      <c r="E48" s="838"/>
      <c r="F48" s="838"/>
      <c r="G48" s="838"/>
      <c r="H48" s="839"/>
      <c r="I48" s="834">
        <f>Skemaoplysninger!L91</f>
        <v>0</v>
      </c>
      <c r="J48" s="835"/>
      <c r="K48" s="836"/>
      <c r="L48" s="245"/>
      <c r="M48" s="987"/>
      <c r="N48" s="988"/>
      <c r="O48" s="988"/>
      <c r="P48" s="988"/>
      <c r="Q48" s="988"/>
      <c r="R48" s="988"/>
      <c r="S48" s="988"/>
      <c r="T48" s="988"/>
      <c r="U48" s="989"/>
      <c r="V48" s="826"/>
      <c r="W48" s="826"/>
      <c r="X48" s="827"/>
      <c r="Y48" s="252"/>
      <c r="Z48" s="243"/>
      <c r="AB48" s="243"/>
      <c r="AC48" s="243"/>
      <c r="AI48" s="94"/>
      <c r="AJ48" s="94"/>
      <c r="BC48" s="243"/>
      <c r="BQ48" s="1"/>
      <c r="CN48" s="1"/>
      <c r="CX48" s="253"/>
      <c r="CZ48"/>
    </row>
    <row r="49" spans="1:110">
      <c r="A49" s="884" t="s">
        <v>296</v>
      </c>
      <c r="B49" s="885"/>
      <c r="C49" s="885"/>
      <c r="D49" s="885"/>
      <c r="E49" s="885"/>
      <c r="F49" s="885"/>
      <c r="G49" s="885"/>
      <c r="H49" s="885"/>
      <c r="I49" s="886">
        <f>V39+X39-N67-N65-P65</f>
        <v>0</v>
      </c>
      <c r="J49" s="887"/>
      <c r="K49" s="888"/>
      <c r="L49" s="245"/>
      <c r="M49" s="974"/>
      <c r="N49" s="975"/>
      <c r="O49" s="975"/>
      <c r="P49" s="975"/>
      <c r="Q49" s="975"/>
      <c r="R49" s="975"/>
      <c r="S49" s="975"/>
      <c r="T49" s="975"/>
      <c r="U49" s="975"/>
      <c r="V49" s="808"/>
      <c r="W49" s="809"/>
      <c r="X49" s="810"/>
      <c r="Y49" s="252"/>
      <c r="Z49" s="243"/>
      <c r="AB49" s="243"/>
      <c r="AC49" s="243"/>
      <c r="AH49" s="94"/>
      <c r="AI49" s="94"/>
      <c r="BP49" s="1"/>
      <c r="CM49" s="1"/>
      <c r="CX49" s="253"/>
      <c r="CZ49"/>
    </row>
    <row r="50" spans="1:110" ht="17" thickBot="1">
      <c r="A50" s="266" t="str">
        <f>"Faktisk arbejdstid ialt i "&amp;A7&amp;" måned"</f>
        <v>Faktisk arbejdstid ialt i September måned</v>
      </c>
      <c r="B50" s="330"/>
      <c r="C50" s="331"/>
      <c r="D50" s="331"/>
      <c r="E50" s="331"/>
      <c r="F50" s="331"/>
      <c r="G50" s="331"/>
      <c r="H50" s="332"/>
      <c r="I50" s="840">
        <f>I46+I49+I48+I47</f>
        <v>0</v>
      </c>
      <c r="J50" s="841"/>
      <c r="K50" s="842"/>
      <c r="L50" s="245"/>
      <c r="M50" s="974"/>
      <c r="N50" s="975"/>
      <c r="O50" s="975"/>
      <c r="P50" s="975"/>
      <c r="Q50" s="975"/>
      <c r="R50" s="975"/>
      <c r="S50" s="975"/>
      <c r="T50" s="975"/>
      <c r="U50" s="975"/>
      <c r="V50" s="808"/>
      <c r="W50" s="809"/>
      <c r="X50" s="810"/>
      <c r="Y50" s="243"/>
      <c r="Z50" s="243"/>
      <c r="AA50" s="243"/>
      <c r="AB50" s="243"/>
      <c r="AC50" s="218"/>
      <c r="AD50" s="252"/>
      <c r="AE50" s="252"/>
      <c r="AF50" s="252"/>
      <c r="AG50" s="252"/>
      <c r="AH50" s="243"/>
      <c r="AJ50" s="243"/>
      <c r="AK50" s="243"/>
      <c r="AO50" s="94"/>
      <c r="AP50" s="94"/>
      <c r="BW50" s="1"/>
      <c r="CT50" s="1"/>
      <c r="CY50"/>
      <c r="CZ50"/>
      <c r="DE50" s="253"/>
      <c r="DF50" s="253"/>
    </row>
    <row r="51" spans="1:110" ht="17" thickBot="1">
      <c r="A51" s="260"/>
      <c r="B51" s="260"/>
      <c r="C51" s="260"/>
      <c r="D51" s="260"/>
      <c r="E51" s="260"/>
      <c r="F51" s="260"/>
      <c r="G51" s="260"/>
      <c r="H51" s="260"/>
      <c r="I51" s="577"/>
      <c r="J51" s="577"/>
      <c r="K51" s="577"/>
      <c r="L51" s="551"/>
      <c r="M51" s="974"/>
      <c r="N51" s="975"/>
      <c r="O51" s="975"/>
      <c r="P51" s="975"/>
      <c r="Q51" s="975"/>
      <c r="R51" s="975"/>
      <c r="S51" s="975"/>
      <c r="T51" s="975"/>
      <c r="U51" s="975"/>
      <c r="V51" s="808"/>
      <c r="W51" s="809"/>
      <c r="X51" s="810"/>
      <c r="Y51" s="243"/>
      <c r="Z51" s="243"/>
      <c r="AA51" s="243"/>
      <c r="AB51" s="243"/>
      <c r="AC51" s="218"/>
      <c r="AD51" s="252"/>
      <c r="AE51" s="252"/>
      <c r="AF51" s="252"/>
      <c r="AG51" s="252"/>
      <c r="AH51" s="243"/>
      <c r="AJ51" s="243"/>
      <c r="AK51" s="243"/>
      <c r="AO51" s="94"/>
      <c r="AP51" s="94"/>
      <c r="BW51" s="1"/>
      <c r="CT51" s="1"/>
      <c r="CY51"/>
      <c r="CZ51"/>
      <c r="DE51" s="253"/>
      <c r="DF51" s="253"/>
    </row>
    <row r="52" spans="1:110" ht="39" customHeight="1" thickBot="1">
      <c r="A52" s="875" t="s">
        <v>527</v>
      </c>
      <c r="B52" s="876"/>
      <c r="C52" s="876"/>
      <c r="D52" s="876"/>
      <c r="E52" s="876"/>
      <c r="F52" s="876"/>
      <c r="G52" s="876"/>
      <c r="H52" s="670" t="s">
        <v>614</v>
      </c>
      <c r="I52" s="877" t="s">
        <v>526</v>
      </c>
      <c r="J52" s="1001"/>
      <c r="K52" s="1002"/>
      <c r="L52" s="551"/>
      <c r="M52" s="1003" t="s">
        <v>300</v>
      </c>
      <c r="N52" s="1004"/>
      <c r="O52" s="1004"/>
      <c r="P52" s="1004"/>
      <c r="Q52" s="1004"/>
      <c r="R52" s="1004"/>
      <c r="S52" s="1004"/>
      <c r="T52" s="1004"/>
      <c r="U52" s="1005"/>
      <c r="V52" s="1006">
        <f>V45-SUM(V48:X51)</f>
        <v>0</v>
      </c>
      <c r="W52" s="1007"/>
      <c r="X52" s="1008"/>
      <c r="Y52" s="243"/>
      <c r="Z52" s="243"/>
      <c r="AA52" s="243"/>
      <c r="AB52" s="243"/>
      <c r="AC52" s="218"/>
      <c r="AD52" s="252"/>
      <c r="AE52" s="252"/>
      <c r="AF52" s="252"/>
      <c r="AG52" s="252"/>
      <c r="AH52" s="243"/>
      <c r="AJ52" s="243"/>
      <c r="AK52" s="243"/>
      <c r="AO52" s="94"/>
      <c r="AP52" s="94"/>
      <c r="BW52" s="1"/>
      <c r="CT52" s="1"/>
      <c r="CY52"/>
      <c r="CZ52"/>
      <c r="DE52" s="253"/>
      <c r="DF52" s="253"/>
    </row>
    <row r="53" spans="1:110" ht="16" customHeight="1">
      <c r="A53" s="905"/>
      <c r="B53" s="906"/>
      <c r="C53" s="906"/>
      <c r="D53" s="906"/>
      <c r="E53" s="906"/>
      <c r="F53" s="906"/>
      <c r="G53" s="906"/>
      <c r="H53" s="666">
        <f>August!H62</f>
        <v>0</v>
      </c>
      <c r="I53" s="978">
        <f>August!I62</f>
        <v>0</v>
      </c>
      <c r="J53" s="978"/>
      <c r="K53" s="979"/>
      <c r="L53" s="551"/>
      <c r="M53" s="243"/>
      <c r="N53" s="243"/>
      <c r="O53" s="243"/>
      <c r="P53" s="243"/>
      <c r="Q53" s="218"/>
      <c r="R53" s="252"/>
      <c r="S53" s="252"/>
      <c r="T53" s="252"/>
      <c r="U53" s="252"/>
      <c r="V53" s="243"/>
      <c r="X53" s="243"/>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1013" t="s">
        <v>531</v>
      </c>
      <c r="B54" s="1014"/>
      <c r="C54" s="1014"/>
      <c r="D54" s="1014"/>
      <c r="E54" s="1014"/>
      <c r="F54" s="1014"/>
      <c r="G54" s="1015"/>
      <c r="H54" s="664"/>
      <c r="I54" s="1016"/>
      <c r="J54" s="1017"/>
      <c r="K54" s="1018"/>
      <c r="L54" s="551"/>
      <c r="M54" s="243"/>
      <c r="N54" s="243"/>
      <c r="O54" s="243"/>
      <c r="P54" s="243"/>
      <c r="Q54" s="218"/>
      <c r="R54" s="252"/>
      <c r="S54" s="252"/>
      <c r="T54" s="252"/>
      <c r="U54" s="252"/>
      <c r="V54" s="243"/>
      <c r="X54" s="243"/>
      <c r="Y54" s="243"/>
      <c r="Z54" s="243"/>
      <c r="AA54" s="243"/>
      <c r="AB54" s="243"/>
      <c r="AC54" s="218"/>
      <c r="AD54" s="252"/>
      <c r="AE54" s="252"/>
      <c r="AF54" s="252"/>
      <c r="AG54" s="252"/>
      <c r="AH54" s="243"/>
      <c r="AJ54" s="243"/>
      <c r="AK54" s="243"/>
      <c r="AO54" s="94"/>
      <c r="AP54" s="94"/>
      <c r="BW54" s="1"/>
      <c r="CT54" s="1"/>
      <c r="CY54"/>
      <c r="CZ54"/>
      <c r="DE54" s="253"/>
      <c r="DF54" s="253"/>
    </row>
    <row r="55" spans="1:110" ht="37" customHeight="1">
      <c r="A55" s="802" t="s">
        <v>616</v>
      </c>
      <c r="B55" s="803"/>
      <c r="C55" s="803"/>
      <c r="D55" s="803"/>
      <c r="E55" s="803"/>
      <c r="F55" s="803"/>
      <c r="G55" s="803"/>
      <c r="H55" s="803"/>
      <c r="I55" s="803"/>
      <c r="J55" s="803"/>
      <c r="K55" s="804"/>
      <c r="L55" s="551"/>
      <c r="M55" s="578"/>
      <c r="N55" s="578"/>
      <c r="O55" s="578"/>
      <c r="P55" s="578"/>
      <c r="Q55" s="579"/>
      <c r="R55" s="580"/>
      <c r="S55" s="580"/>
      <c r="T55" s="580"/>
      <c r="U55" s="580"/>
      <c r="V55" s="578"/>
      <c r="W55" s="581"/>
      <c r="X55" s="578"/>
      <c r="Y55" s="243"/>
      <c r="Z55" s="243"/>
      <c r="AA55" s="243"/>
      <c r="AB55" s="243"/>
      <c r="AC55" s="218"/>
      <c r="AD55" s="252"/>
      <c r="AE55" s="252"/>
      <c r="AF55" s="252"/>
      <c r="AG55" s="252"/>
      <c r="AH55" s="243"/>
      <c r="AJ55" s="243"/>
      <c r="AK55" s="243"/>
      <c r="AO55" s="94"/>
      <c r="AP55" s="94"/>
      <c r="BW55" s="1"/>
      <c r="CT55" s="1"/>
      <c r="CY55"/>
      <c r="CZ55"/>
      <c r="DE55" s="253"/>
      <c r="DF55" s="253"/>
    </row>
    <row r="56" spans="1:110" ht="35" customHeight="1">
      <c r="A56" s="907" t="s">
        <v>615</v>
      </c>
      <c r="B56" s="908"/>
      <c r="C56" s="958" t="s">
        <v>566</v>
      </c>
      <c r="D56" s="959"/>
      <c r="E56" s="960" t="s">
        <v>567</v>
      </c>
      <c r="F56" s="803"/>
      <c r="G56" s="961"/>
      <c r="H56" s="970" t="s">
        <v>528</v>
      </c>
      <c r="I56" s="970"/>
      <c r="J56" s="970"/>
      <c r="K56" s="971"/>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0">
      <c r="A57" s="962"/>
      <c r="B57" s="963"/>
      <c r="C57" s="966"/>
      <c r="D57" s="965"/>
      <c r="E57" s="967"/>
      <c r="F57" s="968"/>
      <c r="G57" s="969"/>
      <c r="H57" s="665"/>
      <c r="I57" s="956"/>
      <c r="J57" s="956"/>
      <c r="K57" s="957"/>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0">
      <c r="A58" s="964"/>
      <c r="B58" s="965"/>
      <c r="C58" s="966"/>
      <c r="D58" s="965"/>
      <c r="E58" s="967"/>
      <c r="F58" s="968"/>
      <c r="G58" s="969"/>
      <c r="H58" s="665"/>
      <c r="I58" s="956"/>
      <c r="J58" s="956"/>
      <c r="K58" s="957"/>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0">
      <c r="A59" s="964"/>
      <c r="B59" s="965"/>
      <c r="C59" s="966"/>
      <c r="D59" s="965"/>
      <c r="E59" s="967"/>
      <c r="F59" s="968"/>
      <c r="G59" s="969"/>
      <c r="H59" s="665"/>
      <c r="I59" s="956"/>
      <c r="J59" s="956"/>
      <c r="K59" s="957"/>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0">
      <c r="A60" s="964"/>
      <c r="B60" s="965"/>
      <c r="C60" s="966"/>
      <c r="D60" s="965"/>
      <c r="E60" s="967"/>
      <c r="F60" s="968"/>
      <c r="G60" s="969"/>
      <c r="H60" s="665"/>
      <c r="I60" s="956"/>
      <c r="J60" s="956"/>
      <c r="K60" s="957"/>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0" ht="17" thickBot="1">
      <c r="A61" s="953" t="s">
        <v>529</v>
      </c>
      <c r="B61" s="954"/>
      <c r="C61" s="955"/>
      <c r="D61" s="955"/>
      <c r="E61" s="955"/>
      <c r="F61" s="955"/>
      <c r="G61" s="955"/>
      <c r="H61" s="667">
        <f>H54+H53-SUM(H57:H60)</f>
        <v>0</v>
      </c>
      <c r="I61" s="950">
        <f>I53+I54-SUM(I57:K60)</f>
        <v>0</v>
      </c>
      <c r="J61" s="951"/>
      <c r="K61" s="952"/>
      <c r="L61" s="551"/>
      <c r="M61" s="578"/>
      <c r="N61" s="578"/>
      <c r="O61" s="578"/>
      <c r="P61" s="578"/>
      <c r="Q61" s="579"/>
      <c r="R61" s="580"/>
      <c r="S61" s="580"/>
      <c r="T61" s="580"/>
      <c r="U61" s="580"/>
      <c r="V61" s="578"/>
      <c r="W61" s="581"/>
      <c r="X61" s="578"/>
      <c r="Y61" s="243"/>
      <c r="Z61" s="243"/>
      <c r="AA61" s="243"/>
      <c r="AB61" s="243"/>
      <c r="AC61" s="218"/>
      <c r="AD61" s="252"/>
      <c r="AE61" s="252"/>
      <c r="AF61" s="252"/>
      <c r="AG61" s="252"/>
      <c r="AH61" s="243"/>
      <c r="AJ61" s="243"/>
      <c r="AK61" s="243"/>
      <c r="AO61" s="94"/>
      <c r="AP61" s="94"/>
      <c r="BW61" s="1"/>
      <c r="CT61" s="1"/>
      <c r="CY61"/>
      <c r="CZ61"/>
      <c r="DE61" s="253"/>
      <c r="DF61" s="253"/>
    </row>
    <row r="62" spans="1:110" ht="24" hidden="1" customHeight="1">
      <c r="A62" s="470"/>
      <c r="B62" s="470"/>
      <c r="C62" s="470"/>
      <c r="D62" s="470"/>
      <c r="E62" s="470"/>
      <c r="F62" s="470"/>
      <c r="G62" s="470"/>
      <c r="H62" s="482"/>
      <c r="I62" s="234"/>
      <c r="J62" s="234"/>
      <c r="K62" s="268" t="s">
        <v>297</v>
      </c>
      <c r="L62" s="245"/>
      <c r="M62" s="243"/>
      <c r="N62" s="243"/>
      <c r="O62" s="243"/>
      <c r="P62" s="243"/>
      <c r="Q62" s="218"/>
      <c r="R62" s="252"/>
      <c r="S62" s="252"/>
      <c r="T62" s="252"/>
      <c r="U62" s="252"/>
      <c r="V62" s="243"/>
      <c r="X62" s="243"/>
      <c r="Y62" s="243"/>
      <c r="Z62"/>
      <c r="AC62" s="94"/>
      <c r="AD62" s="94"/>
      <c r="BK62" s="1"/>
      <c r="CH62" s="1"/>
      <c r="CS62" s="253"/>
      <c r="CT62" s="253"/>
      <c r="CY62"/>
      <c r="CZ62"/>
    </row>
    <row r="63" spans="1:110" hidden="1">
      <c r="A63" s="127" t="s">
        <v>209</v>
      </c>
      <c r="B63" s="127"/>
      <c r="C63" s="127"/>
      <c r="D63" s="127">
        <f>COUNTIF([0]!SEPTEMBER,"Skema 1")</f>
        <v>21</v>
      </c>
      <c r="E63" s="422"/>
      <c r="F63" s="127" t="s">
        <v>189</v>
      </c>
      <c r="G63" s="127">
        <f>COUNTIFS($B$9:$B$38,"ma",[0]!SEPTEMBER,"Skema 1")</f>
        <v>4</v>
      </c>
      <c r="H63" s="127"/>
      <c r="I63" s="127"/>
      <c r="J63" s="352"/>
      <c r="K63" s="417"/>
      <c r="L63" s="417"/>
      <c r="M63" s="243"/>
      <c r="N63" s="243"/>
      <c r="O63" s="243"/>
      <c r="P63" s="243"/>
      <c r="Q63" s="218"/>
      <c r="R63" s="252"/>
      <c r="S63" s="252"/>
      <c r="T63" s="252"/>
      <c r="U63" s="252"/>
      <c r="V63" s="243"/>
      <c r="X63" s="243"/>
      <c r="Y63" s="243"/>
      <c r="Z63"/>
      <c r="AC63" s="94"/>
      <c r="AD63" s="94"/>
      <c r="BK63" s="1"/>
      <c r="CH63" s="1"/>
      <c r="CS63" s="253"/>
      <c r="CT63" s="253"/>
      <c r="CY63"/>
      <c r="CZ63"/>
    </row>
    <row r="64" spans="1:110" ht="15" hidden="1" customHeight="1">
      <c r="A64" s="973" t="s">
        <v>210</v>
      </c>
      <c r="B64" s="973"/>
      <c r="C64" s="973"/>
      <c r="D64" s="127">
        <f>COUNTIF([0]!SEPTEMBER,"Skema 2")</f>
        <v>0</v>
      </c>
      <c r="E64" s="422"/>
      <c r="F64" s="127" t="s">
        <v>190</v>
      </c>
      <c r="G64" s="127">
        <f>COUNTIFS($B$9:$B$38,"ti",[0]!SEPTEMBER,"Skema 1")</f>
        <v>4</v>
      </c>
      <c r="H64" s="127"/>
      <c r="I64" s="127"/>
      <c r="J64" s="352"/>
      <c r="K64" s="417"/>
      <c r="L64" s="417"/>
      <c r="M64" s="243"/>
      <c r="N64" s="243"/>
      <c r="O64" s="243"/>
      <c r="P64" s="243"/>
      <c r="Q64" s="218"/>
      <c r="R64" s="252"/>
      <c r="S64" s="252"/>
      <c r="T64" s="252"/>
      <c r="U64" s="252"/>
      <c r="V64" s="243"/>
      <c r="X64" s="243"/>
      <c r="Y64" s="243"/>
      <c r="Z64"/>
      <c r="AC64" s="94"/>
      <c r="AD64" s="94"/>
      <c r="BK64" s="1"/>
      <c r="CH64" s="1"/>
      <c r="CS64" s="253"/>
      <c r="CT64" s="253"/>
      <c r="CY64"/>
      <c r="CZ64"/>
    </row>
    <row r="65" spans="1:112" s="552" customFormat="1" hidden="1">
      <c r="A65" s="972" t="s">
        <v>211</v>
      </c>
      <c r="B65" s="972"/>
      <c r="C65" s="972"/>
      <c r="D65" s="547">
        <f>COUNTIF([0]!SEPTEMBER,"Skema 3")</f>
        <v>0</v>
      </c>
      <c r="E65" s="549"/>
      <c r="F65" s="547" t="s">
        <v>191</v>
      </c>
      <c r="G65" s="547">
        <f>COUNTIFS($B$9:$B$38,"on",[0]!SEPTEMBER,"Skema 1")</f>
        <v>4</v>
      </c>
      <c r="H65" s="547"/>
      <c r="I65" s="547"/>
      <c r="J65" s="550"/>
      <c r="K65" s="551"/>
      <c r="M65" s="567"/>
      <c r="N65" s="550">
        <f>IF($C$9="Ikke relevant",V9,0)+IF($C$10="Ikke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relevant",V37,0)+IF($C$38="Ikke relevant",V38,0)</f>
        <v>0</v>
      </c>
      <c r="O65" s="550">
        <f t="shared" ref="O65" si="34">IF($C$9="Ikke relevant",W9,0)+IF($C$10="Ikke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relevant",W37,0)+IF($C$38="Ikke relevant",W38,0)</f>
        <v>0</v>
      </c>
      <c r="P65" s="550">
        <f>IF($C$9="Ikke relevant",X9,0)+IF($C$10="Ikke relevant",X10,0)+IF($C$11="Ikke relevant",X11,0)+IF($C$12="Ikke relevant",X12,0)+IF($C$13="Ikke relevant",X13,0)+IF($C$14="Ikke relevant",X14,0)+IF($C$15="Ikke relevant",X15,0)+IF($C$16="Ikke relevant",X16,0)+IF($C$17="Ikke relevant",X17,0)+IF($C$18="Ikke relevant",X18,0)+IF($C$19="Ikke relevant",X19,0)+IF($C$20="Ikke relevant",X20,0)+IF($C$21="Ikke relevant",X21,0)+IF($C$22="Ikke relevant",X22,0)+IF($C$23="Ikke relevant",X23,0)+IF($C$24="Ikke relevant",X24,0)+IF($C$25="Ikke relevant",X25,0)+IF($C$26="Ikke relevant",X26,0)+IF($C$27="Ikke relevant",X27,0)+IF($C$28="Ikke relevant",X28,0)+IF($C$29="Ikke relevant",X29,0)+IF($C$30="Ikke relevant",X30,0)+IF($C$31="Ikke relevant",X31,0)+IF($C$32="Ikke relevant",X32,0)+IF($C$33="Ikke relevant",X33,0)+IF($C$34="Ikke relevant",X34,0)+IF($C$35="Ikke relevant",X35,0)+IF($C$36="Ikke relevant",X36,0)+IF($C$37="Ikke relevant",X37,0)+IF($C$38="Ikke relevant",X38,0)</f>
        <v>0</v>
      </c>
      <c r="Q65" s="579" t="s">
        <v>622</v>
      </c>
      <c r="R65" s="568"/>
      <c r="S65" s="568"/>
      <c r="T65" s="568"/>
      <c r="U65" s="568"/>
      <c r="V65" s="567"/>
      <c r="X65" s="567"/>
      <c r="Y65" s="567"/>
      <c r="AC65" s="547"/>
      <c r="AD65" s="547"/>
      <c r="BK65" s="569"/>
      <c r="CH65" s="569"/>
      <c r="CS65" s="570"/>
      <c r="CT65" s="570"/>
    </row>
    <row r="66" spans="1:112" s="552" customFormat="1" hidden="1">
      <c r="A66" s="972" t="s">
        <v>212</v>
      </c>
      <c r="B66" s="972"/>
      <c r="C66" s="972"/>
      <c r="D66" s="547">
        <f>COUNTIF([0]!SEPTEMBER,"Skema 4")</f>
        <v>0</v>
      </c>
      <c r="E66" s="549"/>
      <c r="F66" s="547" t="s">
        <v>193</v>
      </c>
      <c r="G66" s="547">
        <f>COUNTIFS($B$9:$B$38,"to",[0]!SEPTEMBER,"Skema 1")</f>
        <v>4</v>
      </c>
      <c r="H66" s="547"/>
      <c r="I66" s="547" t="s">
        <v>496</v>
      </c>
      <c r="J66" s="550">
        <f>IF(C9="Ikke relevant",R9,0)+IF(C10="Ikke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f>
        <v>0</v>
      </c>
      <c r="M66" s="545" t="s">
        <v>327</v>
      </c>
      <c r="N66" s="545" t="s">
        <v>423</v>
      </c>
      <c r="O66" s="545"/>
      <c r="P66" s="545"/>
      <c r="Q66" s="545"/>
      <c r="R66" s="545"/>
      <c r="S66" s="545"/>
      <c r="T66" s="545"/>
      <c r="U66" s="545"/>
      <c r="V66" s="545"/>
      <c r="W66" s="545"/>
      <c r="X66" s="545"/>
      <c r="Y66" s="567"/>
      <c r="Z66" s="567"/>
      <c r="AA66" s="567"/>
      <c r="AB66" s="567"/>
      <c r="AC66" s="567"/>
      <c r="AD66" s="568"/>
      <c r="AE66" s="568"/>
      <c r="AF66" s="568"/>
      <c r="AG66" s="568"/>
      <c r="AH66" s="568"/>
      <c r="AI66" s="567"/>
      <c r="AK66" s="567"/>
      <c r="AL66" s="567"/>
      <c r="AP66" s="547"/>
      <c r="AQ66" s="547"/>
      <c r="BX66" s="569"/>
      <c r="CU66" s="569"/>
      <c r="DF66" s="570"/>
      <c r="DG66" s="570"/>
    </row>
    <row r="67" spans="1:112" s="552" customFormat="1" hidden="1">
      <c r="A67" s="547" t="s">
        <v>113</v>
      </c>
      <c r="B67" s="547"/>
      <c r="C67" s="547"/>
      <c r="D67" s="547">
        <f>COUNTIF([0]!SEPTEMBER,"Fagdag")+COUNTIF([0]!SEPTEMBER,"emnedag")</f>
        <v>0</v>
      </c>
      <c r="E67" s="549"/>
      <c r="F67" s="547" t="s">
        <v>192</v>
      </c>
      <c r="G67" s="547">
        <f>COUNTIFS($B$9:$B$38,"fr",[0]!SEPTEMBER,"Skema 1")</f>
        <v>5</v>
      </c>
      <c r="H67" s="547"/>
      <c r="I67" s="552" t="s">
        <v>329</v>
      </c>
      <c r="J67" s="550"/>
      <c r="M67" s="551">
        <f>IF($I$9="X",$K$9,0)+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f>
        <v>0</v>
      </c>
      <c r="N67" s="551">
        <f>IF(AND($I$9="X",$S$9="x"),$V$9,0)+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f>
        <v>0</v>
      </c>
      <c r="O67" s="551"/>
      <c r="P67" s="551"/>
      <c r="Q67" s="571" t="s">
        <v>331</v>
      </c>
      <c r="R67" s="547"/>
      <c r="S67" s="547"/>
      <c r="T67" s="547" t="s">
        <v>332</v>
      </c>
      <c r="U67" s="547"/>
      <c r="V67" s="547"/>
      <c r="W67" s="547"/>
      <c r="X67" s="547"/>
      <c r="Y67" s="547"/>
      <c r="Z67" s="567"/>
      <c r="AA67" s="567"/>
      <c r="AB67" s="567"/>
      <c r="AC67" s="567"/>
      <c r="AD67" s="567"/>
      <c r="AE67" s="568"/>
      <c r="AF67" s="568"/>
      <c r="AG67" s="568"/>
      <c r="AH67" s="568"/>
      <c r="AI67" s="568"/>
      <c r="AJ67" s="567"/>
      <c r="AL67" s="567"/>
      <c r="AM67" s="567"/>
      <c r="AQ67" s="547"/>
      <c r="AR67" s="547"/>
      <c r="BY67" s="569"/>
      <c r="CV67" s="569"/>
      <c r="DG67" s="570"/>
      <c r="DH67" s="570"/>
    </row>
    <row r="68" spans="1:112" s="552" customFormat="1" hidden="1">
      <c r="A68" s="553" t="s">
        <v>112</v>
      </c>
      <c r="B68" s="547"/>
      <c r="C68" s="547"/>
      <c r="D68" s="547">
        <f>COUNTIF([0]!SEPTEMBER,"Lejrskole")+COUNTIF([0]!SEPTEMBER,"Ekskursion")</f>
        <v>0</v>
      </c>
      <c r="E68" s="549"/>
      <c r="F68" s="547"/>
      <c r="G68" s="547"/>
      <c r="H68" s="547"/>
      <c r="I68" s="552" t="s">
        <v>343</v>
      </c>
      <c r="J68" s="550"/>
      <c r="M68" s="551">
        <f>IF(AND($I$9="X",$J$9="X"),($K$9*-1),0)+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f>
        <v>0</v>
      </c>
      <c r="N68" s="551">
        <f>IF(AND($I$9="X",$J$9="X"),$V$9*-1,0)+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f>
        <v>0</v>
      </c>
      <c r="O68" s="572">
        <v>0.5</v>
      </c>
      <c r="P68" s="551"/>
      <c r="Q68" s="571" t="s">
        <v>328</v>
      </c>
      <c r="R68" s="547"/>
      <c r="S68" s="547"/>
      <c r="T68" s="547"/>
      <c r="U68" s="547"/>
      <c r="V68" s="547"/>
      <c r="W68" s="547"/>
      <c r="X68" s="547"/>
      <c r="Y68" s="547"/>
      <c r="Z68" s="567"/>
      <c r="AA68" s="567"/>
      <c r="AB68" s="567"/>
      <c r="AC68" s="567"/>
      <c r="AD68" s="567"/>
      <c r="AE68" s="568"/>
      <c r="AF68" s="568"/>
      <c r="AG68" s="568"/>
      <c r="AH68" s="568"/>
      <c r="AI68" s="568"/>
      <c r="AJ68" s="567"/>
      <c r="AL68" s="567"/>
      <c r="AM68" s="567"/>
      <c r="AQ68" s="547"/>
      <c r="AR68" s="547"/>
      <c r="BY68" s="569"/>
      <c r="CV68" s="569"/>
      <c r="DG68" s="570"/>
      <c r="DH68" s="570"/>
    </row>
    <row r="69" spans="1:112" s="552" customFormat="1" hidden="1">
      <c r="A69" s="547" t="s">
        <v>111</v>
      </c>
      <c r="B69" s="547"/>
      <c r="C69" s="547"/>
      <c r="D69" s="547">
        <f>COUNTIF([0]!SEPTEMBER,"Pæd.dag")</f>
        <v>0</v>
      </c>
      <c r="E69" s="549"/>
      <c r="F69" s="547" t="s">
        <v>194</v>
      </c>
      <c r="G69" s="547">
        <f>COUNTIFS($B$9:$B$38,"ma",[0]!SEPTEMBER,"Skema 2")</f>
        <v>0</v>
      </c>
      <c r="H69" s="547"/>
      <c r="I69" s="547" t="s">
        <v>342</v>
      </c>
      <c r="J69" s="550"/>
      <c r="M69" s="551">
        <f>SUM(M67:M68)</f>
        <v>0</v>
      </c>
      <c r="N69" s="551">
        <f>SUM(N67:N68)</f>
        <v>0</v>
      </c>
      <c r="O69" s="551">
        <f>(M69+N69)/2</f>
        <v>0</v>
      </c>
      <c r="P69" s="551">
        <f>SUM(M69:O69)</f>
        <v>0</v>
      </c>
      <c r="Q69" s="571">
        <f>(M69+N69)*25%</f>
        <v>0</v>
      </c>
      <c r="R69" s="547"/>
      <c r="S69" s="547"/>
      <c r="T69" s="547"/>
      <c r="U69" s="547"/>
      <c r="V69" s="547"/>
      <c r="W69" s="547"/>
      <c r="X69" s="547"/>
      <c r="Y69" s="547"/>
      <c r="Z69" s="567"/>
      <c r="AA69" s="567"/>
      <c r="AB69" s="567"/>
      <c r="AC69" s="567"/>
      <c r="AD69" s="567"/>
      <c r="AE69" s="568"/>
      <c r="AF69" s="568"/>
      <c r="AG69" s="568"/>
      <c r="AH69" s="568"/>
      <c r="AI69" s="568"/>
      <c r="AJ69" s="567"/>
      <c r="AL69" s="567"/>
      <c r="AM69" s="567"/>
      <c r="AQ69" s="547"/>
      <c r="AR69" s="547"/>
      <c r="BY69" s="569"/>
      <c r="CV69" s="569"/>
      <c r="DG69" s="570"/>
      <c r="DH69" s="570"/>
    </row>
    <row r="70" spans="1:112" s="552" customFormat="1" ht="16" hidden="1" customHeight="1">
      <c r="A70" s="547" t="s">
        <v>121</v>
      </c>
      <c r="B70" s="547"/>
      <c r="C70" s="547"/>
      <c r="D70" s="547">
        <f>COUNTIF([0]!SEPTEMBER,"Weekend")</f>
        <v>9</v>
      </c>
      <c r="E70" s="549"/>
      <c r="F70" s="547" t="s">
        <v>195</v>
      </c>
      <c r="G70" s="547">
        <f>COUNTIFS($B$9:$B$38,"ti",[0]!SEPTEMBER,"Skema 2")</f>
        <v>0</v>
      </c>
      <c r="H70" s="547"/>
      <c r="I70" s="547" t="s">
        <v>482</v>
      </c>
      <c r="J70" s="550"/>
      <c r="M70" s="551">
        <f>IF(Stamoplysninger!$B$26="Weekendtimer og weekendtillæg afspadseres.",M67,0)</f>
        <v>0</v>
      </c>
      <c r="N70" s="551">
        <f>IF(Stamoplysninger!$B$26="Weekendtimer og weekendtillæg afspadseres.",N67,0)</f>
        <v>0</v>
      </c>
      <c r="O70" s="551"/>
      <c r="P70" s="551"/>
      <c r="Q70" s="571" t="s">
        <v>333</v>
      </c>
      <c r="R70" s="547"/>
      <c r="S70" s="547">
        <f>IF(Stamoplysninger!B22="Ulempetillæg afspadseres med 25%(Kræver en aftale imellem ledelsen og den ansatte)",Q69,0)</f>
        <v>0</v>
      </c>
      <c r="T70" s="547">
        <f>IF(Stamoplysninger!B22="Ulempetillæg afspadseres med 25%(Kræver en aftale imellem ledelsen og den ansatte)",(R39+X39)*0.25,0)</f>
        <v>0</v>
      </c>
      <c r="U70" s="547"/>
      <c r="V70" s="547"/>
      <c r="W70" s="547"/>
      <c r="X70" s="547"/>
      <c r="Y70" s="547"/>
      <c r="AP70" s="569"/>
      <c r="BM70" s="569"/>
      <c r="BX70" s="570"/>
      <c r="BY70" s="570"/>
    </row>
    <row r="71" spans="1:112" s="552" customFormat="1" ht="16" hidden="1" customHeight="1">
      <c r="A71" s="547" t="s">
        <v>128</v>
      </c>
      <c r="B71" s="547"/>
      <c r="C71" s="547"/>
      <c r="D71" s="547">
        <f>COUNTIF([0]!SEPTEMBER,"SH-dag")</f>
        <v>0</v>
      </c>
      <c r="E71" s="549"/>
      <c r="F71" s="547" t="s">
        <v>196</v>
      </c>
      <c r="G71" s="547">
        <f>COUNTIFS($B$9:$B$38,"on",[0]!SEPTEMBER,"Skema 2")</f>
        <v>0</v>
      </c>
      <c r="H71" s="547"/>
      <c r="I71" s="554" t="s">
        <v>483</v>
      </c>
      <c r="J71" s="554"/>
      <c r="K71" s="554"/>
      <c r="L71" s="554"/>
      <c r="M71" s="551">
        <f>IF(Stamoplysninger!$B$26="Weekendtimer og weekendtillæg afspadseres.",O69,0)</f>
        <v>0</v>
      </c>
      <c r="N71" s="551">
        <f>IF(Stamoplysninger!$B$26="Weekendtimer og weekendtillæg afspadseres.",O69,0)</f>
        <v>0</v>
      </c>
      <c r="O71" s="551"/>
      <c r="P71" s="551"/>
      <c r="Q71" s="571" t="s">
        <v>330</v>
      </c>
      <c r="R71" s="547"/>
      <c r="S71" s="547">
        <f>IF(Stamoplysninger!B22="Ulempetillæg udbetales med 25% af nettotimelønnen.",Q69,0)</f>
        <v>0</v>
      </c>
      <c r="T71" s="547">
        <f>IF(Stamoplysninger!B22="Ulempetillæg udbetales med 25% af nettotimelønnen.",(R39+X39)*0.25,0)</f>
        <v>0</v>
      </c>
      <c r="U71" s="547"/>
      <c r="V71" s="547"/>
      <c r="W71" s="547"/>
      <c r="X71" s="547"/>
      <c r="Y71" s="547"/>
      <c r="AP71" s="569"/>
      <c r="BM71" s="569"/>
      <c r="BX71" s="570"/>
      <c r="BY71" s="570"/>
    </row>
    <row r="72" spans="1:112" s="552" customFormat="1" ht="16" hidden="1" customHeight="1">
      <c r="A72" s="547" t="s">
        <v>110</v>
      </c>
      <c r="B72" s="547"/>
      <c r="C72" s="547"/>
      <c r="D72" s="547">
        <f>COUNTIF([0]!SEPTEMBER,"Feriedag")</f>
        <v>0</v>
      </c>
      <c r="E72" s="549"/>
      <c r="F72" s="547" t="s">
        <v>197</v>
      </c>
      <c r="G72" s="547">
        <f>COUNTIFS($B$9:$B$38,"to",[0]!SEPTEMBER,"Skema 2")</f>
        <v>0</v>
      </c>
      <c r="H72" s="547"/>
      <c r="I72" s="554" t="s">
        <v>484</v>
      </c>
      <c r="J72" s="554"/>
      <c r="K72" s="554"/>
      <c r="L72" s="554"/>
      <c r="M72" s="551">
        <f>IF(Stamoplysninger!$B$26="Weekendtimer og weekendtillæg udbetales.",M67,0)</f>
        <v>0</v>
      </c>
      <c r="N72" s="551">
        <f>IF(Stamoplysninger!$B$26="Weekendtimer og weekendtillæg udbetales.",N67,0)</f>
        <v>0</v>
      </c>
      <c r="O72" s="551"/>
      <c r="P72" s="551"/>
      <c r="Q72" s="571"/>
      <c r="R72" s="547"/>
      <c r="S72" s="547"/>
      <c r="T72" s="547"/>
      <c r="U72" s="547"/>
      <c r="V72" s="547"/>
      <c r="W72" s="547"/>
      <c r="X72" s="547"/>
      <c r="Y72" s="547"/>
      <c r="AP72" s="569"/>
      <c r="BM72" s="569"/>
      <c r="BX72" s="570"/>
      <c r="BY72" s="570"/>
    </row>
    <row r="73" spans="1:112" s="552" customFormat="1" ht="16" hidden="1" customHeight="1">
      <c r="A73" s="547" t="s">
        <v>181</v>
      </c>
      <c r="B73" s="547"/>
      <c r="C73" s="547"/>
      <c r="D73" s="547">
        <f>COUNTIF([0]!SEPTEMBER,"Nul-dag")</f>
        <v>0</v>
      </c>
      <c r="E73" s="549"/>
      <c r="F73" s="547" t="s">
        <v>198</v>
      </c>
      <c r="G73" s="547">
        <f>COUNTIFS($B$9:$B$38,"fr",[0]!SEPTEMBER,"Skema 2")</f>
        <v>0</v>
      </c>
      <c r="H73" s="547"/>
      <c r="I73" s="554" t="s">
        <v>485</v>
      </c>
      <c r="J73" s="554"/>
      <c r="K73" s="554"/>
      <c r="L73" s="554"/>
      <c r="M73" s="551">
        <f>IF(Stamoplysninger!$B$26="Weekendtimer og weekendtillæg udbetales.",O69,0)</f>
        <v>0</v>
      </c>
      <c r="N73" s="551">
        <f>IF(Stamoplysninger!$B$26="Weekendtimer og weekendtillæg udbetales.",O69,0)</f>
        <v>0</v>
      </c>
      <c r="O73" s="551"/>
      <c r="P73" s="551"/>
      <c r="Q73" s="571"/>
      <c r="R73" s="547"/>
      <c r="S73" s="547"/>
      <c r="T73" s="547"/>
      <c r="U73" s="547"/>
      <c r="V73" s="547"/>
      <c r="W73" s="547"/>
      <c r="X73" s="547"/>
      <c r="Y73" s="547"/>
      <c r="AP73" s="569"/>
      <c r="BM73" s="569"/>
      <c r="BX73" s="570"/>
      <c r="BY73" s="570"/>
    </row>
    <row r="74" spans="1:112" s="552" customFormat="1" ht="16" hidden="1" customHeight="1">
      <c r="A74" s="555" t="s">
        <v>444</v>
      </c>
      <c r="B74" s="547"/>
      <c r="C74" s="547"/>
      <c r="D74" s="547">
        <f>COUNTIF([0]!SEPTEMBER,"Orlov")</f>
        <v>0</v>
      </c>
      <c r="E74" s="549"/>
      <c r="F74" s="556"/>
      <c r="G74" s="556"/>
      <c r="H74" s="556"/>
      <c r="I74" s="554" t="s">
        <v>334</v>
      </c>
      <c r="J74" s="554"/>
      <c r="K74" s="554"/>
      <c r="L74" s="554"/>
      <c r="M74" s="551">
        <f>IF(Stamoplysninger!$B$26="Der er indgået lokalaftale omkring weekendtimer.(Kræver aftale med TR/FSL) Weekendtillæg afspadseres.",O69,0)</f>
        <v>0</v>
      </c>
      <c r="N74" s="551">
        <f>IF(Stamoplysninger!$B$26="Der er indgået lokalaftale omkring weekendtimer.(Kræver aftale med TR/FSL) Weekendtillæg afspadseres.",N67,0)</f>
        <v>0</v>
      </c>
      <c r="O74" s="551"/>
      <c r="P74" s="551"/>
      <c r="Q74" s="571"/>
      <c r="R74" s="547"/>
      <c r="S74" s="547"/>
      <c r="T74" s="547"/>
      <c r="U74" s="547"/>
      <c r="V74" s="547"/>
      <c r="W74" s="547"/>
      <c r="X74" s="547"/>
      <c r="Y74" s="547"/>
      <c r="AP74" s="569"/>
      <c r="BM74" s="569"/>
      <c r="BX74" s="570"/>
      <c r="BY74" s="570"/>
    </row>
    <row r="75" spans="1:112" s="552" customFormat="1" ht="16" hidden="1" customHeight="1">
      <c r="A75" s="547" t="s">
        <v>161</v>
      </c>
      <c r="B75" s="547"/>
      <c r="C75" s="547"/>
      <c r="D75" s="547">
        <f>COUNTIF([0]!SEPTEMBER,"Ikke relevant")</f>
        <v>0</v>
      </c>
      <c r="E75" s="549"/>
      <c r="F75" s="547" t="s">
        <v>199</v>
      </c>
      <c r="G75" s="547">
        <f>COUNTIFS($B$9:$B$38,"ma",[0]!SEPTEMBER,"Skema 3")</f>
        <v>0</v>
      </c>
      <c r="H75" s="547">
        <v>1</v>
      </c>
      <c r="I75" s="554" t="s">
        <v>335</v>
      </c>
      <c r="J75" s="554"/>
      <c r="K75" s="554"/>
      <c r="L75" s="554"/>
      <c r="M75" s="551">
        <f>IF(Stamoplysninger!$B$26="Der er indgået lokalaftale omkring weekendtimer(Kræver aftale med TR/FSL). Weekendtillæg udbetales.",O69,0)</f>
        <v>0</v>
      </c>
      <c r="N75" s="551">
        <f>IF(Stamoplysninger!$B$26="Der er indgået lokalaftale omkring weekendtimer(Kræver aftale med TR/FSL). Weekendtillæg udbetales.",N67,0)</f>
        <v>0</v>
      </c>
      <c r="O75" s="551"/>
      <c r="P75" s="551"/>
      <c r="Q75" s="571"/>
      <c r="R75" s="547"/>
      <c r="S75" s="547"/>
      <c r="T75" s="547"/>
      <c r="U75" s="547"/>
      <c r="V75" s="547"/>
      <c r="W75" s="547"/>
      <c r="X75" s="547"/>
      <c r="Y75" s="547"/>
      <c r="AP75" s="569"/>
      <c r="BM75" s="569"/>
      <c r="BX75" s="570"/>
      <c r="BY75" s="570"/>
    </row>
    <row r="76" spans="1:112" s="552" customFormat="1" hidden="1">
      <c r="A76" s="547" t="s">
        <v>109</v>
      </c>
      <c r="B76" s="547"/>
      <c r="C76" s="547"/>
      <c r="D76" s="547">
        <f>SUM(D63:D75)</f>
        <v>30</v>
      </c>
      <c r="E76" s="547"/>
      <c r="F76" s="547" t="s">
        <v>200</v>
      </c>
      <c r="G76" s="547">
        <f>COUNTIFS($B$9:$B$38,"ti",[0]!SEPTEMBER,"Skema 3")</f>
        <v>0</v>
      </c>
      <c r="H76" s="547">
        <v>2</v>
      </c>
      <c r="I76" s="554" t="s">
        <v>487</v>
      </c>
      <c r="J76" s="554"/>
      <c r="K76" s="554"/>
      <c r="L76" s="554"/>
      <c r="M76" s="551">
        <f>IF(Stamoplysninger!$B$26="Der er indgået lokalaftale omkring weekendtimer.(Kræver aftale med TR/FSL) Weekendtillæg afspadseres.",M67,0)</f>
        <v>0</v>
      </c>
      <c r="N76" s="551">
        <f>IF(Stamoplysninger!$B$26="Der er indgået lokalaftale omkring weekendtimer.(Kræver aftale med TR/FSL) Weekendtillæg afspadseres.",O69,0)</f>
        <v>0</v>
      </c>
      <c r="AO76" s="569"/>
      <c r="BL76" s="569"/>
      <c r="BW76" s="570"/>
      <c r="BX76" s="570"/>
    </row>
    <row r="77" spans="1:112" s="552" customFormat="1" hidden="1">
      <c r="A77" s="547" t="s">
        <v>242</v>
      </c>
      <c r="B77" s="547"/>
      <c r="C77" s="547"/>
      <c r="D77" s="547">
        <f>D76-D70-A86-D75</f>
        <v>21</v>
      </c>
      <c r="E77" s="557"/>
      <c r="F77" s="547" t="s">
        <v>201</v>
      </c>
      <c r="G77" s="547">
        <f>COUNTIFS($B$9:$B$38,"on",[0]!SEPTEMBER,"Skema 3")</f>
        <v>0</v>
      </c>
      <c r="H77" s="547"/>
      <c r="I77" s="554" t="s">
        <v>488</v>
      </c>
      <c r="J77" s="554"/>
      <c r="K77" s="554"/>
      <c r="L77" s="554"/>
      <c r="M77" s="551">
        <f>IF(Stamoplysninger!$B$26="Der er indgået lokalaftale omkring weekendtimer(Kræver aftale med TR/FSL). Weekendtillæg udbetales.",M67,0)</f>
        <v>0</v>
      </c>
      <c r="N77" s="551">
        <f>IF(Stamoplysninger!$B$26="Der er indgået lokalaftale omkring weekendtimer(Kræver aftale med TR/FSL). Weekendtillæg udbetales.",O69,0)</f>
        <v>0</v>
      </c>
      <c r="AO77" s="569"/>
      <c r="BL77" s="569"/>
      <c r="BW77" s="570"/>
      <c r="BX77" s="570"/>
    </row>
    <row r="78" spans="1:112" s="552" customFormat="1" hidden="1">
      <c r="A78" s="547"/>
      <c r="B78" s="547"/>
      <c r="C78" s="547"/>
      <c r="D78" s="547"/>
      <c r="E78" s="547"/>
      <c r="F78" s="547" t="s">
        <v>202</v>
      </c>
      <c r="G78" s="547">
        <f>COUNTIFS($B$9:$B$38,"to",[0]!SEPTEMBER,"Skema 3")</f>
        <v>0</v>
      </c>
      <c r="H78" s="547"/>
      <c r="I78" s="554" t="s">
        <v>336</v>
      </c>
      <c r="J78" s="554"/>
      <c r="K78" s="554"/>
      <c r="L78" s="554"/>
      <c r="M78" s="551">
        <f>IF(Stamoplysninger!$B$26="Der er indgået lokalaftale omkring weekendtillæg(Kræver aftale med TR/FSL). Weekendtimerne afspadseres.",M67,0)</f>
        <v>0</v>
      </c>
      <c r="N78" s="551">
        <f>IF(Stamoplysninger!$B$26="Der er indgået lokalaftale omkring weekendtillæg(Kræver aftale med TR/FSL). Weekendtimerne afspadseres.",N67,0)</f>
        <v>0</v>
      </c>
      <c r="AO78" s="569"/>
      <c r="BL78" s="569"/>
      <c r="BW78" s="570"/>
      <c r="BX78" s="570"/>
    </row>
    <row r="79" spans="1:112" s="552" customFormat="1" hidden="1">
      <c r="A79" s="547"/>
      <c r="B79" s="547"/>
      <c r="C79" s="547"/>
      <c r="D79" s="547"/>
      <c r="E79" s="547"/>
      <c r="F79" s="547" t="s">
        <v>203</v>
      </c>
      <c r="G79" s="547">
        <f>COUNTIFS($B$9:$B$38,"fr",[0]!SEPTEMBER,"Skema 3")</f>
        <v>0</v>
      </c>
      <c r="H79" s="547">
        <v>1</v>
      </c>
      <c r="I79" s="554" t="s">
        <v>337</v>
      </c>
      <c r="J79" s="554"/>
      <c r="K79" s="554"/>
      <c r="L79" s="554"/>
      <c r="M79" s="551">
        <f>IF(Stamoplysninger!$B$26="Der er indgået lokalaftale omkring weekendtillæg(Kræver aftale med TR/FSL). Weekendtimerne udbetales.",M67,0)</f>
        <v>0</v>
      </c>
      <c r="N79" s="551">
        <f>IF(Stamoplysninger!$B$26="Der er indgået lokalaftale omkring weekendtillæg(Kræver aftale med TR/FSL). Weekendtimerne udbetales.",N67,0)</f>
        <v>0</v>
      </c>
      <c r="AO79" s="569"/>
      <c r="BL79" s="569"/>
      <c r="BW79" s="570"/>
      <c r="BX79" s="570"/>
    </row>
    <row r="80" spans="1:112" s="552" customFormat="1" hidden="1">
      <c r="A80" s="547" t="s">
        <v>298</v>
      </c>
      <c r="B80" s="547"/>
      <c r="C80" s="547"/>
      <c r="D80" s="547"/>
      <c r="E80" s="547"/>
      <c r="F80" s="547"/>
      <c r="G80" s="547"/>
      <c r="H80" s="547">
        <v>2</v>
      </c>
      <c r="I80" s="554" t="s">
        <v>489</v>
      </c>
      <c r="J80" s="554"/>
      <c r="K80" s="554"/>
      <c r="L80" s="554"/>
      <c r="M80" s="551">
        <f>IF(Stamoplysninger!$B$26="Der er indgået lokalaftale omkring weekendtillæg(Kræver aftale med TR/FSL). Weekendtimerne afspadseres.",M67,0)</f>
        <v>0</v>
      </c>
      <c r="N80" s="551">
        <f>IF(Stamoplysninger!$B$26="Der er indgået lokalaftale omkring weekendtillæg(Kræver aftale med TR/FSL). Weekendtimerne afspadseres.",N67,0)</f>
        <v>0</v>
      </c>
      <c r="AO80" s="569"/>
      <c r="BL80" s="569"/>
      <c r="BW80" s="570"/>
      <c r="BX80" s="570"/>
    </row>
    <row r="81" spans="1:111" s="552" customFormat="1" hidden="1">
      <c r="A81" s="547">
        <f>COUNTIF($C$10:$C$11,"Skema 1")+COUNTIF($C$10:$C$11,"Skema 2")+COUNTIF($C$10:$C$11,"Skema 3")+COUNTIF($C$10:$C$11,"Skema 4")+COUNTIF($C$10:$C$11,"Fagdag")+COUNTIF($C$10:$C$11,"Emnedag")+COUNTIF($C$10:$C$11,"Lejrskole")+COUNTIF($C$10:$C$11,"Ekskursion")+COUNTIF($C$10:$C$11,"Pæd.dag")</f>
        <v>0</v>
      </c>
      <c r="B81" s="547"/>
      <c r="C81" s="547"/>
      <c r="D81" s="547"/>
      <c r="E81" s="547"/>
      <c r="F81" s="547" t="s">
        <v>204</v>
      </c>
      <c r="G81" s="547">
        <f>COUNTIFS($B$9:$B$38,"ma",[0]!SEPTEMBER,"Skema 4")</f>
        <v>0</v>
      </c>
      <c r="H81" s="547"/>
      <c r="I81" s="554" t="s">
        <v>490</v>
      </c>
      <c r="J81" s="554"/>
      <c r="K81" s="554"/>
      <c r="L81" s="554"/>
      <c r="M81" s="551">
        <f>IF(Stamoplysninger!$B$26="Der er indgået lokalaftale omkring weekendtillæg(Kræver aftale med TR/FSL). Weekendtimerne udbetales.",M67,0)</f>
        <v>0</v>
      </c>
      <c r="N81" s="551">
        <f>IF(Stamoplysninger!$B$26="Der er indgået lokalaftale omkring weekendtillæg(Kræver aftale med TR/FSL). Weekendtimerne udbetales.",N67,0)</f>
        <v>0</v>
      </c>
      <c r="AO81" s="569"/>
      <c r="BL81" s="569"/>
      <c r="BW81" s="570"/>
      <c r="BX81" s="570"/>
    </row>
    <row r="82" spans="1:111" s="552" customFormat="1" hidden="1">
      <c r="A82" s="547">
        <f>COUNTIF($C$17:$C$18,"Skema 1")+COUNTIF($C$17:$C$18,"Skema 2")+COUNTIF($C$17:$C$18,"Skema 3")+COUNTIF($C$17:$C$18,"Skema 4")+COUNTIF($C$17:$C$18,"Fagdag")+COUNTIF($C$17:$C$18,"Emnedag")+COUNTIF($C$17:$C$18,"Lejrskole")+COUNTIF($C$17:$C$18,"Ekskursion")+COUNTIF($C$17:$C$18,"Pæd.dag")</f>
        <v>0</v>
      </c>
      <c r="B82" s="547"/>
      <c r="C82" s="547"/>
      <c r="D82" s="547"/>
      <c r="E82" s="547"/>
      <c r="F82" s="547" t="s">
        <v>205</v>
      </c>
      <c r="G82" s="547">
        <f>COUNTIFS($B$9:$B$38,"ti",[0]!SEPTEMBER,"Skema 4")</f>
        <v>0</v>
      </c>
      <c r="H82" s="547"/>
      <c r="I82" s="547" t="s">
        <v>486</v>
      </c>
      <c r="M82" s="551">
        <f>IF(Stamoplysninger!$B$26="Der er indgået lokalaftale omkring weekendtimer og weekendtillæg.(Kræver aftale med TR/FSL).",M67,0)</f>
        <v>0</v>
      </c>
      <c r="N82" s="551"/>
      <c r="AO82" s="569"/>
      <c r="BL82" s="569"/>
      <c r="BW82" s="570"/>
      <c r="BX82" s="570"/>
    </row>
    <row r="83" spans="1:111" s="552" customFormat="1" hidden="1">
      <c r="A83" s="547">
        <f>COUNTIF($C$24:$C$25,"Skema 1")+COUNTIF($C$24:$C$25,"Skema 2")+COUNTIF($C$24:$C$25,"Skema 3")+COUNTIF($C$24:$C$25,"Skema 4")+COUNTIF($C$24:$C$25,"Fagdag")+COUNTIF($C$24:$C$25,"Emnedag")+COUNTIF($C$24:$C$25,"Lejrskole")+COUNTIF($C$24:$C$25,"Ekskursion")+COUNTIF($C$24:$C$25,"Pæd.dag")</f>
        <v>0</v>
      </c>
      <c r="B83" s="547"/>
      <c r="C83" s="547"/>
      <c r="D83" s="547"/>
      <c r="E83" s="547"/>
      <c r="F83" s="547" t="s">
        <v>206</v>
      </c>
      <c r="G83" s="547">
        <f>COUNTIFS($B$9:$B$38,"on",[0]!SEPTEMBER,"Skema 4")</f>
        <v>0</v>
      </c>
      <c r="H83" s="547"/>
      <c r="I83" s="547"/>
      <c r="AO83" s="569"/>
      <c r="BL83" s="569"/>
      <c r="BW83" s="570"/>
      <c r="BX83" s="570"/>
    </row>
    <row r="84" spans="1:111" hidden="1">
      <c r="A84" s="547">
        <f>COUNTIF($C$31:$C$32,"Skema 1")+COUNTIF($C$31:$C$32,"Skema 2")+COUNTIF($C$31:$C$32,"Skema 3")+COUNTIF($C$31:$C$32,"Skema 4")+COUNTIF($C$31:$C$32,"Fagdag")+COUNTIF($C$31:$C$32,"Emnedag")+COUNTIF($C$31:$C$32,"Lejrskole")+COUNTIF($C$31:$C$32,"Ekskursion")+COUNTIF($C$31:$C$32,"Pæd.dag")</f>
        <v>0</v>
      </c>
      <c r="B84" s="547"/>
      <c r="C84" s="547"/>
      <c r="D84" s="547"/>
      <c r="E84" s="547"/>
      <c r="F84" s="547" t="s">
        <v>207</v>
      </c>
      <c r="G84" s="547">
        <f>COUNTIFS($B$9:$B$38,"to",[0]!SEPTEMBER,"Skema 4")</f>
        <v>0</v>
      </c>
      <c r="H84" s="547"/>
      <c r="I84" s="547"/>
      <c r="J84" s="44"/>
      <c r="K84" s="44"/>
      <c r="L84" s="44"/>
      <c r="Y84"/>
      <c r="Z84"/>
      <c r="AO84" s="1">
        <f>SUM(N84:AN84)</f>
        <v>0</v>
      </c>
      <c r="BL84" s="1">
        <f>SUM(AI84:BK84)</f>
        <v>0</v>
      </c>
      <c r="BW84" s="253"/>
      <c r="BX84" s="253"/>
      <c r="CY84"/>
      <c r="CZ84"/>
    </row>
    <row r="85" spans="1:111" hidden="1">
      <c r="A85" s="547">
        <f>COUNTIF($C$38,"Skema 1")+COUNTIF($C$38,"Skema 2")+COUNTIF($C$38,"Skema 3")+COUNTIF($C$38,"Skema 4")+COUNTIF($C$38,"Fagdag")+COUNTIF($C$38,"Emnedag")+COUNTIF($C$38,"Lejrskole")+COUNTIF($C$38,"Ekskursion")+COUNTIF($C$38,"Pæd.dag")</f>
        <v>0</v>
      </c>
      <c r="B85" s="547"/>
      <c r="C85" s="547"/>
      <c r="D85" s="547"/>
      <c r="E85" s="547"/>
      <c r="F85" s="547" t="s">
        <v>208</v>
      </c>
      <c r="G85" s="547">
        <f>COUNTIFS($B$9:$B$38,"fr",[0]!SEPTEMBER,"Skema 4")</f>
        <v>0</v>
      </c>
      <c r="H85" s="547"/>
      <c r="I85" s="547"/>
      <c r="J85" s="44"/>
      <c r="K85" s="44"/>
      <c r="L85" s="44"/>
      <c r="Y85"/>
      <c r="Z85"/>
      <c r="AO85" s="1">
        <f>SUM(N85:AN85)</f>
        <v>0</v>
      </c>
      <c r="BL85" s="1">
        <f>SUM(AI85:BK85)</f>
        <v>0</v>
      </c>
      <c r="BW85" s="253"/>
      <c r="BX85" s="253"/>
      <c r="CY85"/>
      <c r="CZ85"/>
    </row>
    <row r="86" spans="1:111" hidden="1">
      <c r="A86" s="547">
        <f>SUM(A81:A85)</f>
        <v>0</v>
      </c>
      <c r="B86" s="547"/>
      <c r="C86" s="547"/>
      <c r="D86" s="547"/>
      <c r="E86" s="547"/>
      <c r="F86" s="547"/>
      <c r="G86" s="547">
        <f>SUM(G63:G85)</f>
        <v>21</v>
      </c>
      <c r="H86" s="552"/>
      <c r="I86" s="552"/>
      <c r="J86" s="44"/>
      <c r="K86" s="44"/>
      <c r="L86" s="44"/>
      <c r="Y86"/>
      <c r="Z86"/>
      <c r="AO86" s="1">
        <f>SUM(N86:AN86)</f>
        <v>0</v>
      </c>
      <c r="BL86" s="1">
        <f>SUM(AI86:BK86)</f>
        <v>0</v>
      </c>
      <c r="BW86" s="253"/>
      <c r="BX86" s="253"/>
      <c r="CY86"/>
      <c r="CZ86"/>
    </row>
    <row r="87" spans="1:111" hidden="1">
      <c r="A87" s="44"/>
      <c r="B87" s="44"/>
      <c r="C87" s="44"/>
      <c r="D87" s="44"/>
      <c r="E87" s="127"/>
      <c r="F87" s="127"/>
      <c r="G87" s="127"/>
      <c r="H87" s="44"/>
      <c r="I87" s="44"/>
      <c r="J87" s="44"/>
      <c r="K87" s="44"/>
      <c r="L87" s="44"/>
      <c r="Y87"/>
      <c r="Z87"/>
      <c r="AO87" s="1">
        <f>SUM(N87:AN87)</f>
        <v>0</v>
      </c>
      <c r="BL87" s="1">
        <f>SUM(AI87:BK87)</f>
        <v>0</v>
      </c>
      <c r="BW87" s="253"/>
      <c r="BX87" s="253"/>
      <c r="CY87"/>
      <c r="CZ87"/>
    </row>
    <row r="88" spans="1:111" hidden="1">
      <c r="A88" s="44"/>
      <c r="B88" s="44"/>
      <c r="C88" s="44"/>
      <c r="D88" s="44"/>
      <c r="E88" s="127"/>
      <c r="F88" s="127"/>
      <c r="G88" s="127"/>
      <c r="H88" s="44"/>
      <c r="I88" s="44"/>
      <c r="J88" s="44"/>
      <c r="K88" s="44"/>
      <c r="L88" s="44"/>
      <c r="Y88"/>
      <c r="Z88"/>
      <c r="BW88" s="253"/>
      <c r="BX88" s="253"/>
      <c r="CY88"/>
      <c r="CZ88"/>
    </row>
    <row r="89" spans="1:111" hidden="1">
      <c r="A89" s="44"/>
      <c r="B89" s="44"/>
      <c r="C89" s="44"/>
      <c r="D89" s="44"/>
      <c r="E89" s="127"/>
      <c r="F89" s="127"/>
      <c r="G89" s="127"/>
      <c r="H89" s="44"/>
      <c r="I89" s="44"/>
      <c r="J89" s="44"/>
      <c r="K89" s="44"/>
      <c r="L89" s="44"/>
      <c r="Y89"/>
      <c r="Z89"/>
      <c r="BW89" s="253"/>
      <c r="BX89" s="253"/>
      <c r="CY89"/>
      <c r="CZ89"/>
    </row>
    <row r="90" spans="1:111">
      <c r="A90" s="44"/>
      <c r="B90" s="44"/>
      <c r="C90" s="44"/>
      <c r="D90" s="44"/>
      <c r="E90" s="127"/>
      <c r="F90" s="127"/>
      <c r="G90" s="127"/>
      <c r="H90" s="44"/>
      <c r="I90" s="44"/>
      <c r="J90" s="44"/>
      <c r="K90" s="44"/>
      <c r="L90" s="44"/>
      <c r="Y90"/>
      <c r="Z90"/>
      <c r="BW90" s="253"/>
      <c r="BX90" s="253"/>
      <c r="CY90"/>
      <c r="CZ90"/>
    </row>
    <row r="91" spans="1:111">
      <c r="A91" s="477"/>
      <c r="B91" s="477"/>
      <c r="C91" s="477"/>
      <c r="D91" s="477"/>
      <c r="E91" s="94"/>
      <c r="F91" s="94"/>
      <c r="G91" s="94"/>
      <c r="Y91"/>
      <c r="Z91"/>
      <c r="BW91" s="253"/>
      <c r="BX91" s="253"/>
      <c r="CY91"/>
      <c r="CZ91"/>
    </row>
    <row r="92" spans="1:111">
      <c r="E92" s="94"/>
      <c r="F92" s="94"/>
      <c r="G92" s="94"/>
      <c r="Y92"/>
      <c r="Z92"/>
      <c r="BW92" s="253"/>
      <c r="BX92" s="253"/>
      <c r="CY92"/>
      <c r="CZ92"/>
    </row>
    <row r="93" spans="1:111">
      <c r="E93" s="94"/>
      <c r="F93" s="94"/>
      <c r="G93" s="94"/>
      <c r="Y93"/>
      <c r="Z93"/>
      <c r="AD93" s="4"/>
      <c r="AE93" s="235"/>
      <c r="AF93" s="235"/>
      <c r="AG93" s="235"/>
      <c r="AH93" s="235"/>
      <c r="CY93"/>
      <c r="CZ93"/>
      <c r="DF93" s="253"/>
      <c r="DG93" s="253"/>
    </row>
    <row r="94" spans="1:111">
      <c r="E94" s="94"/>
      <c r="F94" s="94"/>
      <c r="G94" s="94"/>
      <c r="Y94"/>
      <c r="Z94"/>
      <c r="AD94" s="4"/>
      <c r="AE94" s="235"/>
      <c r="AF94" s="235"/>
      <c r="AG94" s="235"/>
      <c r="AH94" s="235"/>
      <c r="CY94"/>
      <c r="CZ94"/>
      <c r="DF94" s="253"/>
      <c r="DG94" s="253"/>
    </row>
    <row r="95" spans="1:111">
      <c r="E95" s="94"/>
      <c r="F95" s="94"/>
      <c r="G95" s="94"/>
    </row>
    <row r="96" spans="1:111">
      <c r="E96" s="94"/>
      <c r="F96" s="94"/>
      <c r="G96" s="94"/>
    </row>
  </sheetData>
  <sheetProtection sheet="1" objects="1" scenarios="1"/>
  <mergeCells count="141">
    <mergeCell ref="A54:G54"/>
    <mergeCell ref="I54:K54"/>
    <mergeCell ref="A58:B58"/>
    <mergeCell ref="C58:D58"/>
    <mergeCell ref="E58:G58"/>
    <mergeCell ref="A59:B59"/>
    <mergeCell ref="C59:D59"/>
    <mergeCell ref="E59:G59"/>
    <mergeCell ref="A60:B60"/>
    <mergeCell ref="C60:D60"/>
    <mergeCell ref="E60:G60"/>
    <mergeCell ref="A52:G53"/>
    <mergeCell ref="I52:K52"/>
    <mergeCell ref="M52:U52"/>
    <mergeCell ref="V52:X52"/>
    <mergeCell ref="I53:K53"/>
    <mergeCell ref="B2:E2"/>
    <mergeCell ref="E4:G4"/>
    <mergeCell ref="K4:L4"/>
    <mergeCell ref="A5:R5"/>
    <mergeCell ref="P6:P7"/>
    <mergeCell ref="Q6:Q7"/>
    <mergeCell ref="R6:R7"/>
    <mergeCell ref="A4:D4"/>
    <mergeCell ref="A3:X3"/>
    <mergeCell ref="S5:X5"/>
    <mergeCell ref="E12:G12"/>
    <mergeCell ref="E13:G13"/>
    <mergeCell ref="E14:G14"/>
    <mergeCell ref="E15:G15"/>
    <mergeCell ref="E16:G16"/>
    <mergeCell ref="E23:G23"/>
    <mergeCell ref="E24:G24"/>
    <mergeCell ref="E11:G11"/>
    <mergeCell ref="J6:J7"/>
    <mergeCell ref="M51:U51"/>
    <mergeCell ref="V51:X51"/>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I6:I7"/>
    <mergeCell ref="AA6:AE6"/>
    <mergeCell ref="AG6:AK6"/>
    <mergeCell ref="E6:G8"/>
    <mergeCell ref="K6:L6"/>
    <mergeCell ref="N6:N7"/>
    <mergeCell ref="O6:O7"/>
    <mergeCell ref="E25:G25"/>
    <mergeCell ref="E26:G26"/>
    <mergeCell ref="I8:J8"/>
    <mergeCell ref="K8:R8"/>
    <mergeCell ref="V8:X8"/>
    <mergeCell ref="S6:X6"/>
    <mergeCell ref="S8:U8"/>
    <mergeCell ref="E27:G27"/>
    <mergeCell ref="E28:G28"/>
    <mergeCell ref="E17:G17"/>
    <mergeCell ref="E18:G18"/>
    <mergeCell ref="E19:G19"/>
    <mergeCell ref="E20:G20"/>
    <mergeCell ref="E21:G21"/>
    <mergeCell ref="E22:G22"/>
    <mergeCell ref="E36:G36"/>
    <mergeCell ref="E37:G37"/>
    <mergeCell ref="E38:G38"/>
    <mergeCell ref="A39:I39"/>
    <mergeCell ref="E29:G29"/>
    <mergeCell ref="E30:G30"/>
    <mergeCell ref="E31:G31"/>
    <mergeCell ref="E33:G33"/>
    <mergeCell ref="E34:G34"/>
    <mergeCell ref="E35:G35"/>
    <mergeCell ref="I41:K41"/>
    <mergeCell ref="A42:G42"/>
    <mergeCell ref="I42:K42"/>
    <mergeCell ref="V42:X42"/>
    <mergeCell ref="V43:X43"/>
    <mergeCell ref="V44:X44"/>
    <mergeCell ref="M41:X41"/>
    <mergeCell ref="M42:U42"/>
    <mergeCell ref="M43:U43"/>
    <mergeCell ref="M44:U44"/>
    <mergeCell ref="V49:X49"/>
    <mergeCell ref="V50:X50"/>
    <mergeCell ref="M49:U49"/>
    <mergeCell ref="M50:U50"/>
    <mergeCell ref="A48:H48"/>
    <mergeCell ref="I48:K48"/>
    <mergeCell ref="A49:H49"/>
    <mergeCell ref="I49:K49"/>
    <mergeCell ref="A45:G45"/>
    <mergeCell ref="I45:K45"/>
    <mergeCell ref="A46:G46"/>
    <mergeCell ref="I46:K46"/>
    <mergeCell ref="V45:X45"/>
    <mergeCell ref="V47:X47"/>
    <mergeCell ref="V48:X48"/>
    <mergeCell ref="M46:X46"/>
    <mergeCell ref="M45:U45"/>
    <mergeCell ref="M47:U47"/>
    <mergeCell ref="M48:U48"/>
    <mergeCell ref="A47:H47"/>
    <mergeCell ref="I47:K47"/>
    <mergeCell ref="A61:G61"/>
    <mergeCell ref="I61:K61"/>
    <mergeCell ref="I57:K57"/>
    <mergeCell ref="I58:K58"/>
    <mergeCell ref="I59:K59"/>
    <mergeCell ref="I60:K60"/>
    <mergeCell ref="A66:C66"/>
    <mergeCell ref="E32:G32"/>
    <mergeCell ref="A64:C64"/>
    <mergeCell ref="A65:C65"/>
    <mergeCell ref="I50:K50"/>
    <mergeCell ref="A55:K55"/>
    <mergeCell ref="A56:B56"/>
    <mergeCell ref="C56:D56"/>
    <mergeCell ref="E56:G56"/>
    <mergeCell ref="H56:K56"/>
    <mergeCell ref="A57:B57"/>
    <mergeCell ref="C57:D57"/>
    <mergeCell ref="E57:G57"/>
    <mergeCell ref="A43:G43"/>
    <mergeCell ref="I43:K43"/>
    <mergeCell ref="A44:G44"/>
    <mergeCell ref="I44:K44"/>
    <mergeCell ref="A41:G41"/>
  </mergeCells>
  <phoneticPr fontId="5" type="noConversion"/>
  <conditionalFormatting sqref="A9:H31 A32:E32 H32 A33:H38">
    <cfRule type="expression" dxfId="823" priority="55">
      <formula>OR($C9="SH-dag")</formula>
    </cfRule>
    <cfRule type="expression" dxfId="822" priority="62" stopIfTrue="1">
      <formula>OR($C9="skoledag")</formula>
    </cfRule>
    <cfRule type="expression" dxfId="821" priority="61">
      <formula>OR($C9="weekend")</formula>
    </cfRule>
    <cfRule type="expression" dxfId="820" priority="9">
      <formula>OR($C9="Orlov")</formula>
    </cfRule>
    <cfRule type="expression" dxfId="819" priority="60">
      <formula>OR($C9="feriedag")</formula>
    </cfRule>
    <cfRule type="expression" dxfId="818" priority="59">
      <formula>OR($C9="fagdag")</formula>
    </cfRule>
    <cfRule type="expression" dxfId="817" priority="58">
      <formula>OR($C9="emnedag")</formula>
    </cfRule>
    <cfRule type="expression" dxfId="816" priority="57">
      <formula>OR($C9="lejrskole")</formula>
    </cfRule>
    <cfRule type="expression" dxfId="815" priority="56">
      <formula>OR($C9="ekskursion")</formula>
    </cfRule>
    <cfRule type="expression" dxfId="814" priority="54">
      <formula>OR($C9="nul-dag")</formula>
    </cfRule>
    <cfRule type="expression" dxfId="813" priority="53">
      <formula>OR($C9="pæd.dag")</formula>
    </cfRule>
    <cfRule type="expression" dxfId="812" priority="52">
      <formula>OR($C9="Ikke relevant")</formula>
    </cfRule>
    <cfRule type="expression" dxfId="811" priority="48">
      <formula>OR($C9="Skema 1")</formula>
    </cfRule>
    <cfRule type="expression" dxfId="810" priority="49">
      <formula>OR($C9="skema 2")</formula>
    </cfRule>
    <cfRule type="expression" dxfId="809" priority="50">
      <formula>OR($C9="Skema 3")</formula>
    </cfRule>
    <cfRule type="expression" dxfId="808" priority="51">
      <formula>OR($C9="Skema 4")</formula>
    </cfRule>
  </conditionalFormatting>
  <conditionalFormatting sqref="E20">
    <cfRule type="expression" dxfId="807" priority="64">
      <formula>OR($D19="nul-dag")</formula>
    </cfRule>
    <cfRule type="expression" dxfId="806" priority="65">
      <formula>OR($D19="SH-dag")</formula>
    </cfRule>
    <cfRule type="expression" dxfId="805" priority="66">
      <formula>OR($D19="ekskursion")</formula>
    </cfRule>
    <cfRule type="expression" dxfId="804" priority="63">
      <formula>OR($D19="pæd.dag")</formula>
    </cfRule>
    <cfRule type="expression" dxfId="803" priority="67">
      <formula>OR($D19="lejrskole")</formula>
    </cfRule>
    <cfRule type="expression" dxfId="802" priority="68">
      <formula>OR($D19="emnedag")</formula>
    </cfRule>
    <cfRule type="expression" dxfId="801" priority="69">
      <formula>OR($D19="fagdag")</formula>
    </cfRule>
    <cfRule type="expression" dxfId="800" priority="70">
      <formula>OR($D19="feriedag")</formula>
    </cfRule>
    <cfRule type="expression" dxfId="799" priority="71">
      <formula>OR($D19="weekend")</formula>
    </cfRule>
    <cfRule type="expression" dxfId="798" priority="72" stopIfTrue="1">
      <formula>OR($D19="skoledag")</formula>
    </cfRule>
    <cfRule type="expression" dxfId="797" priority="73">
      <formula>OR($D19="Ikke relevant")</formula>
    </cfRule>
  </conditionalFormatting>
  <conditionalFormatting sqref="H57:H60">
    <cfRule type="expression" dxfId="796" priority="1">
      <formula>OR($A57&gt;0,)</formula>
    </cfRule>
  </conditionalFormatting>
  <conditionalFormatting sqref="I57:I60">
    <cfRule type="expression" dxfId="795" priority="2">
      <formula>OR($C57&gt;0,)</formula>
    </cfRule>
  </conditionalFormatting>
  <conditionalFormatting sqref="K9:K38">
    <cfRule type="expression" dxfId="794" priority="45">
      <formula>OR($C9="Pæd.dag",)</formula>
    </cfRule>
  </conditionalFormatting>
  <conditionalFormatting sqref="K9:L38">
    <cfRule type="expression" dxfId="793" priority="47">
      <formula>OR($C9="Ekskursion",)</formula>
    </cfRule>
    <cfRule type="expression" dxfId="792" priority="46">
      <formula>OR($C9="Lejrskole",)</formula>
    </cfRule>
  </conditionalFormatting>
  <conditionalFormatting sqref="K9:M38">
    <cfRule type="expression" dxfId="791" priority="44">
      <formula>OR($C9="emnedag",)</formula>
    </cfRule>
    <cfRule type="expression" dxfId="790" priority="43">
      <formula>OR($C9="fagdag",)</formula>
    </cfRule>
  </conditionalFormatting>
  <conditionalFormatting sqref="R9:R38">
    <cfRule type="expression" dxfId="789" priority="74">
      <formula>OR($H9&gt;"0",)</formula>
    </cfRule>
  </conditionalFormatting>
  <conditionalFormatting sqref="V9:V38">
    <cfRule type="expression" dxfId="788" priority="42">
      <formula>OR($S9="X",)</formula>
    </cfRule>
  </conditionalFormatting>
  <conditionalFormatting sqref="V48:X51">
    <cfRule type="expression" dxfId="787" priority="3">
      <formula>OR($M48&gt;0,)</formula>
    </cfRule>
  </conditionalFormatting>
  <conditionalFormatting sqref="W9:W38">
    <cfRule type="expression" dxfId="786" priority="10">
      <formula>OR($T9="X",)</formula>
    </cfRule>
  </conditionalFormatting>
  <conditionalFormatting sqref="X9:X38">
    <cfRule type="expression" dxfId="785" priority="41">
      <formula>OR($U9="X",)</formula>
    </cfRule>
  </conditionalFormatting>
  <dataValidations count="3">
    <dataValidation type="list" allowBlank="1" showInputMessage="1" showErrorMessage="1" sqref="S9:U38 A57:D60" xr:uid="{3AD7A720-4573-A241-A118-77292E8C1E64}">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4:I25 I10:I11 I17:I18 I31:I32 I38" xr:uid="{635FF951-77D8-6A42-942C-77FE506D0DE4}">
      <formula1>$W$1:$W$2</formula1>
    </dataValidation>
    <dataValidation type="list" allowBlank="1" showInputMessage="1" showErrorMessage="1" promptTitle="OBS:" prompt="Ved arrangementer med overnatning ydes istedet for ulempe- og weekendgodtgørelse på hhv. 25% og 50% faste tillæg pr. påbegyndt dag. " sqref="J9:J38" xr:uid="{3CEB2FBA-FF57-6544-A101-F08D9DBD0975}">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184128BC-3E70-D54C-BB88-F1DAE60D68DB}">
          <x14:formula1>
            <xm:f>August!$A$89:$A$103</xm:f>
          </x14:formula1>
          <xm:sqref>C9:C38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12109-97B4-644B-B498-50EB87F49447}">
  <sheetPr>
    <tabColor theme="4" tint="-0.249977111117893"/>
    <pageSetUpPr fitToPage="1"/>
  </sheetPr>
  <dimension ref="A1:DN101"/>
  <sheetViews>
    <sheetView zoomScale="90" workbookViewId="0">
      <selection activeCell="E6" sqref="E6:G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2" width="21.33203125" hidden="1" customWidth="1"/>
    <col min="113" max="119"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44"/>
      <c r="Y1" s="251"/>
      <c r="Z1" s="94"/>
      <c r="AB1" s="94"/>
      <c r="AC1" s="94"/>
      <c r="AH1" s="94"/>
      <c r="AI1" s="94"/>
      <c r="CX1" s="253"/>
      <c r="CZ1"/>
    </row>
    <row r="2" spans="1:118" ht="20">
      <c r="A2" s="96">
        <v>10</v>
      </c>
      <c r="B2" s="1009"/>
      <c r="C2" s="1009"/>
      <c r="D2" s="1009"/>
      <c r="E2" s="1009"/>
      <c r="F2" s="94"/>
      <c r="G2" s="94"/>
      <c r="H2" s="292"/>
      <c r="I2" s="291"/>
      <c r="J2" s="234"/>
      <c r="K2" s="234"/>
      <c r="L2" s="234"/>
      <c r="M2" s="234"/>
      <c r="N2" s="234"/>
      <c r="O2" s="234"/>
      <c r="P2" s="94"/>
      <c r="Q2" s="94"/>
      <c r="R2" s="94"/>
      <c r="S2" s="94"/>
      <c r="T2" s="94"/>
      <c r="U2" s="94"/>
      <c r="V2" s="94"/>
      <c r="W2" s="127" t="s">
        <v>31</v>
      </c>
      <c r="X2" s="127" t="s">
        <v>31</v>
      </c>
      <c r="Y2" s="251"/>
      <c r="Z2" s="94"/>
      <c r="AB2" s="94"/>
      <c r="AC2" s="94"/>
      <c r="AH2" s="94"/>
      <c r="AI2" s="94"/>
      <c r="CX2" s="253"/>
      <c r="CZ2"/>
    </row>
    <row r="3" spans="1:118">
      <c r="A3" s="1022" t="s">
        <v>316</v>
      </c>
      <c r="B3" s="1023"/>
      <c r="C3" s="1023"/>
      <c r="D3" s="1023"/>
      <c r="E3" s="1023"/>
      <c r="F3" s="1023"/>
      <c r="G3" s="1023"/>
      <c r="H3" s="1023"/>
      <c r="I3" s="1023"/>
      <c r="J3" s="1023"/>
      <c r="K3" s="1023"/>
      <c r="L3" s="1023"/>
      <c r="M3" s="1023"/>
      <c r="N3" s="1023"/>
      <c r="O3" s="1023"/>
      <c r="P3" s="1023"/>
      <c r="Q3" s="1023"/>
      <c r="R3" s="1023"/>
      <c r="S3" s="1023"/>
      <c r="T3" s="1023"/>
      <c r="U3" s="1023"/>
      <c r="V3" s="1023"/>
      <c r="W3" s="1023"/>
      <c r="X3" s="1024"/>
      <c r="Y3" s="94"/>
      <c r="Z3"/>
      <c r="AC3" s="94"/>
      <c r="AD3" s="94"/>
      <c r="AF3" s="94"/>
      <c r="CT3" s="253"/>
      <c r="CU3" s="253"/>
      <c r="CY3"/>
      <c r="CZ3"/>
    </row>
    <row r="4" spans="1:118" ht="254" customHeight="1" thickBot="1">
      <c r="A4" s="921" t="s">
        <v>463</v>
      </c>
      <c r="B4" s="922"/>
      <c r="C4" s="922"/>
      <c r="D4" s="922"/>
      <c r="E4" s="923" t="s">
        <v>317</v>
      </c>
      <c r="F4" s="923"/>
      <c r="G4" s="923"/>
      <c r="H4" s="293" t="s">
        <v>442</v>
      </c>
      <c r="I4" s="468" t="s">
        <v>511</v>
      </c>
      <c r="J4" s="468" t="s">
        <v>512</v>
      </c>
      <c r="K4" s="933" t="s">
        <v>579</v>
      </c>
      <c r="L4" s="933"/>
      <c r="M4" s="533" t="s">
        <v>499</v>
      </c>
      <c r="N4" s="533" t="s">
        <v>464</v>
      </c>
      <c r="O4" s="533" t="s">
        <v>465</v>
      </c>
      <c r="P4" s="534" t="s">
        <v>500</v>
      </c>
      <c r="Q4" s="534" t="s">
        <v>315</v>
      </c>
      <c r="R4" s="534" t="s">
        <v>466</v>
      </c>
      <c r="S4" s="535" t="s">
        <v>509</v>
      </c>
      <c r="T4" s="535" t="s">
        <v>467</v>
      </c>
      <c r="U4" s="535" t="s">
        <v>468</v>
      </c>
      <c r="V4" s="536" t="s">
        <v>501</v>
      </c>
      <c r="W4" s="536" t="s">
        <v>427</v>
      </c>
      <c r="X4" s="537" t="s">
        <v>426</v>
      </c>
      <c r="Y4" s="251"/>
      <c r="Z4" s="94"/>
      <c r="AB4" s="94"/>
      <c r="AC4" s="94"/>
      <c r="AH4" s="94"/>
      <c r="AI4" s="94"/>
      <c r="CX4" s="253"/>
      <c r="CZ4"/>
    </row>
    <row r="5" spans="1:118" ht="26" thickBot="1">
      <c r="A5" s="934" t="str">
        <f>""&amp;A7&amp;" måneds kalender for: "&amp;Stamoplysninger!E8&amp;". Måneden vedr. normperioden: "&amp;Stamoplysninger!E11&amp;" - "&amp;Stamoplysninger!G11&amp;"."</f>
        <v>Oktober måneds kalender for: . Måneden vedr. normperioden:  - .</v>
      </c>
      <c r="B5" s="935"/>
      <c r="C5" s="935"/>
      <c r="D5" s="935"/>
      <c r="E5" s="935"/>
      <c r="F5" s="935"/>
      <c r="G5" s="935"/>
      <c r="H5" s="935"/>
      <c r="I5" s="935"/>
      <c r="J5" s="935"/>
      <c r="K5" s="935"/>
      <c r="L5" s="935"/>
      <c r="M5" s="935"/>
      <c r="N5" s="935"/>
      <c r="O5" s="935"/>
      <c r="P5" s="935"/>
      <c r="Q5" s="935"/>
      <c r="R5" s="935"/>
      <c r="S5" s="928" t="s">
        <v>312</v>
      </c>
      <c r="T5" s="929"/>
      <c r="U5" s="929"/>
      <c r="V5" s="929"/>
      <c r="W5" s="929"/>
      <c r="X5" s="930"/>
      <c r="Y5" s="251"/>
      <c r="Z5" s="94"/>
      <c r="AB5" s="94"/>
      <c r="AC5" s="94"/>
      <c r="AH5" s="94"/>
      <c r="AI5" s="94"/>
      <c r="CX5" s="253"/>
      <c r="CZ5"/>
    </row>
    <row r="6" spans="1:118" ht="47" customHeight="1">
      <c r="A6" s="346">
        <f>August!A7</f>
        <v>2023</v>
      </c>
      <c r="B6" s="246"/>
      <c r="C6" s="247"/>
      <c r="D6" s="248"/>
      <c r="E6" s="941" t="s">
        <v>516</v>
      </c>
      <c r="F6" s="942"/>
      <c r="G6" s="943"/>
      <c r="H6" s="343" t="s">
        <v>344</v>
      </c>
      <c r="I6" s="912" t="s">
        <v>510</v>
      </c>
      <c r="J6" s="939" t="s">
        <v>535</v>
      </c>
      <c r="K6" s="936" t="s">
        <v>309</v>
      </c>
      <c r="L6" s="937"/>
      <c r="M6" s="344" t="s">
        <v>310</v>
      </c>
      <c r="N6" s="912" t="s">
        <v>478</v>
      </c>
      <c r="O6" s="912" t="s">
        <v>314</v>
      </c>
      <c r="P6" s="912" t="s">
        <v>498</v>
      </c>
      <c r="Q6" s="912" t="s">
        <v>413</v>
      </c>
      <c r="R6" s="919" t="s">
        <v>580</v>
      </c>
      <c r="S6" s="913" t="s">
        <v>311</v>
      </c>
      <c r="T6" s="914"/>
      <c r="U6" s="914"/>
      <c r="V6" s="914"/>
      <c r="W6" s="914"/>
      <c r="X6" s="915"/>
      <c r="Y6" s="216"/>
      <c r="Z6" s="216"/>
      <c r="AA6" s="909" t="s">
        <v>264</v>
      </c>
      <c r="AB6" s="909"/>
      <c r="AC6" s="909"/>
      <c r="AD6" s="909"/>
      <c r="AE6" s="909"/>
      <c r="AF6" s="213"/>
      <c r="AG6" s="909" t="s">
        <v>225</v>
      </c>
      <c r="AH6" s="909"/>
      <c r="AI6" s="909"/>
      <c r="AJ6" s="909"/>
      <c r="AK6" s="909"/>
      <c r="AL6" s="909" t="s">
        <v>226</v>
      </c>
      <c r="AM6" s="909"/>
      <c r="AN6" s="909"/>
      <c r="AO6" s="909"/>
      <c r="AP6" s="909"/>
      <c r="AQ6" s="909" t="s">
        <v>227</v>
      </c>
      <c r="AR6" s="909"/>
      <c r="AS6" s="909"/>
      <c r="AT6" s="909"/>
      <c r="AU6" s="909"/>
      <c r="AV6" s="909" t="s">
        <v>228</v>
      </c>
      <c r="AW6" s="909"/>
      <c r="AX6" s="909"/>
      <c r="AY6" s="909"/>
      <c r="AZ6" s="909"/>
      <c r="BA6" s="314"/>
      <c r="BB6" s="213"/>
      <c r="BC6" s="909" t="s">
        <v>267</v>
      </c>
      <c r="BD6" s="909"/>
      <c r="BE6" s="909"/>
      <c r="BF6" s="909"/>
      <c r="BG6" s="909" t="s">
        <v>230</v>
      </c>
      <c r="BH6" s="909"/>
      <c r="BI6" s="909"/>
      <c r="BJ6" s="909"/>
      <c r="BK6" s="909"/>
      <c r="BL6" s="909" t="s">
        <v>231</v>
      </c>
      <c r="BM6" s="909"/>
      <c r="BN6" s="909"/>
      <c r="BO6" s="909"/>
      <c r="BP6" s="909"/>
      <c r="BQ6" s="909" t="s">
        <v>232</v>
      </c>
      <c r="BR6" s="909"/>
      <c r="BS6" s="909"/>
      <c r="BT6" s="909"/>
      <c r="BU6" s="909"/>
      <c r="BV6" s="909" t="s">
        <v>233</v>
      </c>
      <c r="BW6" s="909"/>
      <c r="BX6" s="909"/>
      <c r="BY6" s="909"/>
      <c r="BZ6" s="909"/>
      <c r="CD6" s="909" t="s">
        <v>268</v>
      </c>
      <c r="CE6" s="909"/>
      <c r="CF6" s="909"/>
      <c r="CG6" s="909"/>
      <c r="CH6" s="909"/>
      <c r="CI6" s="909" t="s">
        <v>270</v>
      </c>
      <c r="CJ6" s="909"/>
      <c r="CK6" s="909"/>
      <c r="CL6" s="909"/>
      <c r="CM6" s="909"/>
      <c r="CN6" s="909" t="s">
        <v>269</v>
      </c>
      <c r="CO6" s="909"/>
      <c r="CP6" s="909"/>
      <c r="CQ6" s="909"/>
      <c r="CR6" s="909"/>
      <c r="CS6" s="909" t="s">
        <v>271</v>
      </c>
      <c r="CT6" s="909"/>
      <c r="CU6" s="909"/>
      <c r="CV6" s="909"/>
      <c r="CW6" s="909"/>
      <c r="CX6" s="253"/>
      <c r="CZ6"/>
      <c r="DA6" s="682" t="s">
        <v>215</v>
      </c>
      <c r="DB6" s="682"/>
      <c r="DC6" s="682"/>
      <c r="DD6" s="682"/>
      <c r="DE6" s="682"/>
    </row>
    <row r="7" spans="1:118" ht="153" customHeight="1">
      <c r="A7" s="828" t="s">
        <v>240</v>
      </c>
      <c r="B7" s="829"/>
      <c r="C7" s="829"/>
      <c r="D7" s="830"/>
      <c r="E7" s="944"/>
      <c r="F7" s="945"/>
      <c r="G7" s="946"/>
      <c r="H7" s="910" t="s">
        <v>534</v>
      </c>
      <c r="I7" s="938"/>
      <c r="J7" s="940"/>
      <c r="K7" s="345" t="s">
        <v>581</v>
      </c>
      <c r="L7" s="345" t="s">
        <v>582</v>
      </c>
      <c r="M7" s="345" t="s">
        <v>583</v>
      </c>
      <c r="N7" s="911"/>
      <c r="O7" s="911"/>
      <c r="P7" s="911"/>
      <c r="Q7" s="911"/>
      <c r="R7" s="920"/>
      <c r="S7" s="539" t="s">
        <v>508</v>
      </c>
      <c r="T7" s="344" t="s">
        <v>313</v>
      </c>
      <c r="U7" s="344" t="s">
        <v>428</v>
      </c>
      <c r="V7" s="475" t="s">
        <v>470</v>
      </c>
      <c r="W7" s="475" t="s">
        <v>469</v>
      </c>
      <c r="X7" s="476" t="s">
        <v>425</v>
      </c>
      <c r="Y7" s="216" t="s">
        <v>282</v>
      </c>
      <c r="Z7" s="216" t="s">
        <v>283</v>
      </c>
      <c r="AA7" s="316" t="s">
        <v>214</v>
      </c>
      <c r="AB7" t="s">
        <v>137</v>
      </c>
      <c r="AC7" t="s">
        <v>140</v>
      </c>
      <c r="AD7" t="s">
        <v>139</v>
      </c>
      <c r="AE7" t="s">
        <v>138</v>
      </c>
      <c r="AF7" t="s">
        <v>444</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266</v>
      </c>
      <c r="BD7" t="s">
        <v>265</v>
      </c>
      <c r="BE7" t="s">
        <v>251</v>
      </c>
      <c r="BF7" t="s">
        <v>252</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254</v>
      </c>
      <c r="CC7" s="316" t="s">
        <v>255</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280</v>
      </c>
      <c r="CY7" s="253" t="s">
        <v>272</v>
      </c>
      <c r="CZ7" s="253" t="s">
        <v>273</v>
      </c>
      <c r="DA7" s="253" t="s">
        <v>274</v>
      </c>
      <c r="DB7" s="253" t="s">
        <v>275</v>
      </c>
      <c r="DC7" s="253" t="s">
        <v>276</v>
      </c>
      <c r="DD7" s="253" t="s">
        <v>277</v>
      </c>
      <c r="DE7" s="253" t="s">
        <v>278</v>
      </c>
      <c r="DF7" s="253" t="s">
        <v>279</v>
      </c>
      <c r="DG7" s="253"/>
    </row>
    <row r="8" spans="1:118" ht="20" customHeight="1">
      <c r="A8" s="831"/>
      <c r="B8" s="832"/>
      <c r="C8" s="832"/>
      <c r="D8" s="833"/>
      <c r="E8" s="947"/>
      <c r="F8" s="948"/>
      <c r="G8" s="949"/>
      <c r="H8" s="911"/>
      <c r="I8" s="931" t="s">
        <v>409</v>
      </c>
      <c r="J8" s="918"/>
      <c r="K8" s="931" t="s">
        <v>346</v>
      </c>
      <c r="L8" s="917"/>
      <c r="M8" s="917"/>
      <c r="N8" s="917"/>
      <c r="O8" s="917"/>
      <c r="P8" s="917"/>
      <c r="Q8" s="917"/>
      <c r="R8" s="917"/>
      <c r="S8" s="916" t="s">
        <v>409</v>
      </c>
      <c r="T8" s="917"/>
      <c r="U8" s="918"/>
      <c r="V8" s="931" t="s">
        <v>410</v>
      </c>
      <c r="W8" s="917"/>
      <c r="X8" s="932"/>
      <c r="Y8" s="216"/>
      <c r="Z8" s="216"/>
      <c r="AA8" s="316"/>
      <c r="BB8" s="232"/>
      <c r="CA8" s="116"/>
      <c r="CB8" s="238"/>
      <c r="CC8" s="316"/>
      <c r="CX8" s="253"/>
      <c r="DA8" s="253"/>
      <c r="DB8" s="253"/>
      <c r="DC8" s="253"/>
      <c r="DD8" s="253"/>
      <c r="DE8" s="253"/>
      <c r="DF8" s="253"/>
      <c r="DG8" s="253"/>
      <c r="DH8" t="s">
        <v>543</v>
      </c>
      <c r="DI8" t="s">
        <v>544</v>
      </c>
      <c r="DJ8" t="s">
        <v>545</v>
      </c>
    </row>
    <row r="9" spans="1:118">
      <c r="A9" s="249">
        <f>IF(ISNUMBER(A7),A7+1,1)</f>
        <v>1</v>
      </c>
      <c r="B9" s="132" t="str">
        <f t="shared" ref="B9:B39" si="0">CHOOSE(MOD(WEEKDAY(DATE(A$6,A$2,A9)),7)+1,"lø","sø","ma","ti","on","to","fr",)</f>
        <v>sø</v>
      </c>
      <c r="C9" s="133" t="s">
        <v>121</v>
      </c>
      <c r="D9" s="134" t="str">
        <f t="shared" ref="D9:D39" si="1">IF(B9="ma",(DATE(A$6,A$2,A9)-DATE(A$6,1,1)+7)/7,"")</f>
        <v/>
      </c>
      <c r="E9" s="871"/>
      <c r="F9" s="872"/>
      <c r="G9" s="873"/>
      <c r="H9" s="313"/>
      <c r="I9" s="440"/>
      <c r="J9" s="440"/>
      <c r="K9" s="405"/>
      <c r="L9" s="405"/>
      <c r="M9" s="405"/>
      <c r="N9" s="334">
        <f>BA9</f>
        <v>0</v>
      </c>
      <c r="O9" s="334">
        <f>CA9</f>
        <v>0</v>
      </c>
      <c r="P9" s="334">
        <f>IF(Stamoplysninger!$H$29="JA",Oktober!DG9,CX9)</f>
        <v>0</v>
      </c>
      <c r="Q9" s="334">
        <f>IF(OR(C9="Lejrskole",C9="Ekskursion"),0,N9-O9-P9)</f>
        <v>0</v>
      </c>
      <c r="R9" s="335"/>
      <c r="S9" s="341"/>
      <c r="T9" s="342"/>
      <c r="U9" s="342"/>
      <c r="V9" s="336"/>
      <c r="W9" s="472"/>
      <c r="X9" s="337"/>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9" si="8">SUM(AG9:AK9)*24</f>
        <v>0</v>
      </c>
      <c r="BC9" s="1">
        <f>IF($C$9="Lejrskole",$L$9,0)</f>
        <v>0</v>
      </c>
      <c r="BD9" s="1">
        <f t="shared" ref="BD9:BD39" si="9">IF(C9="Ekskursion",L9,0)</f>
        <v>0</v>
      </c>
      <c r="BE9" s="1">
        <f t="shared" ref="BE9:BE39" si="10">IF(C9="fagdag",L9,0)</f>
        <v>0</v>
      </c>
      <c r="BF9" s="1">
        <f t="shared" ref="BF9:BF39" si="11">IF(C9="emnedag",L9,0)</f>
        <v>0</v>
      </c>
      <c r="BG9" s="214" t="str">
        <f>IF(AND($C$9="Skema 1",$B$9="ma"),Skemaoplysninger!E30,"")</f>
        <v/>
      </c>
      <c r="BH9" s="214" t="str">
        <f>IF(AND(C9="Skema 1",B9="ti"),Skemaoplysninger!$F$30,"")</f>
        <v/>
      </c>
      <c r="BI9" s="214" t="str">
        <f>IF(AND(C9="Skema 1",B9="on"),Skemaoplysninger!$G$30,"")</f>
        <v/>
      </c>
      <c r="BJ9" s="214" t="str">
        <f>IF(AND(C9="Skema 1",B9="to"),Skemaoplysninger!$H$30,"")</f>
        <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9" si="12">IF(C9="fagdag",M9,0)</f>
        <v>0</v>
      </c>
      <c r="CC9" s="1">
        <f t="shared" ref="CC9:CC39" si="13">IF(C9="emnedag",M9,0)</f>
        <v>0</v>
      </c>
      <c r="CD9" s="214" t="str">
        <f>IF(AND(C9="Skema 1",B9="ma"),Skemaoplysninger!$E$39,"")</f>
        <v/>
      </c>
      <c r="CE9" s="214" t="str">
        <f>IF(AND(C9="Skema 1",B9="ti"),Skemaoplysninger!$F$39,"")</f>
        <v/>
      </c>
      <c r="CF9" s="214" t="str">
        <f>IF(AND(C9="Skema 1",B9="on"),Skemaoplysninger!$G$39,"")</f>
        <v/>
      </c>
      <c r="CG9" s="214" t="str">
        <f>IF(AND(C9="Skema 1",B9="to"),Skemaoplysninger!$H$39,"")</f>
        <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9" si="14">IF(DH9=0,"",DH9)</f>
        <v/>
      </c>
      <c r="DL9" t="str">
        <f>IF(DI9=0,"",DI9)</f>
        <v/>
      </c>
      <c r="DM9" t="str">
        <f>IF(DJ9=0,"",DJ9)</f>
        <v/>
      </c>
      <c r="DN9" t="str">
        <f>DK9&amp;""&amp;DL9&amp;""&amp;DM9</f>
        <v/>
      </c>
    </row>
    <row r="10" spans="1:118">
      <c r="A10" s="249">
        <f t="shared" ref="A10:A38" si="15">IF(ISNUMBER(A9),A9+1,1)</f>
        <v>2</v>
      </c>
      <c r="B10" s="132" t="str">
        <f t="shared" si="0"/>
        <v>ma</v>
      </c>
      <c r="C10" s="133" t="s">
        <v>209</v>
      </c>
      <c r="D10" s="134">
        <f t="shared" si="1"/>
        <v>40.142857142857146</v>
      </c>
      <c r="E10" s="871"/>
      <c r="F10" s="872"/>
      <c r="G10" s="873"/>
      <c r="H10" s="313"/>
      <c r="I10" s="582"/>
      <c r="J10" s="440"/>
      <c r="K10" s="405"/>
      <c r="L10" s="405"/>
      <c r="M10" s="405"/>
      <c r="N10" s="334">
        <f t="shared" ref="N10:N39" si="16">BA10</f>
        <v>0</v>
      </c>
      <c r="O10" s="334">
        <f t="shared" ref="O10:O39" si="17">CA10</f>
        <v>0</v>
      </c>
      <c r="P10" s="334">
        <f>IF(Stamoplysninger!$H$29="JA",Oktober!DG10,CX10)</f>
        <v>0</v>
      </c>
      <c r="Q10" s="334">
        <f t="shared" ref="Q10:Q39" si="18">IF(OR(C10="Lejrskole",C10="Ekskursion"),0,N10-O10-P10)</f>
        <v>0</v>
      </c>
      <c r="R10" s="335"/>
      <c r="S10" s="341"/>
      <c r="T10" s="342"/>
      <c r="U10" s="342"/>
      <c r="V10" s="336"/>
      <c r="W10" s="472"/>
      <c r="X10" s="337"/>
      <c r="Y10">
        <f t="shared" ref="Y10:Y39" si="19">IF(S10="x",V10-N11,0)</f>
        <v>0</v>
      </c>
      <c r="Z10">
        <f t="shared" si="2"/>
        <v>0</v>
      </c>
      <c r="AA10" s="1">
        <f t="shared" si="3"/>
        <v>0</v>
      </c>
      <c r="AB10" s="1">
        <f t="shared" si="4"/>
        <v>0</v>
      </c>
      <c r="AC10" s="1">
        <f t="shared" si="5"/>
        <v>0</v>
      </c>
      <c r="AD10" s="1">
        <f t="shared" si="6"/>
        <v>0</v>
      </c>
      <c r="AE10" s="1">
        <f t="shared" si="7"/>
        <v>0</v>
      </c>
      <c r="AF10" s="1">
        <f>IF(C10="Orlov",7.4*Stamoplysninger!$E$15,0)</f>
        <v>0</v>
      </c>
      <c r="AG10">
        <f>IF(AND(C10="Skema 1",B10="ma"),Arbejdstidsoversigt!$E$44,"")</f>
        <v>0</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9" si="20">SUM(AA10:AZ10)</f>
        <v>0</v>
      </c>
      <c r="BB10" s="233">
        <f t="shared" si="8"/>
        <v>0</v>
      </c>
      <c r="BC10" s="1">
        <f t="shared" ref="BC10:BC39" si="21">IF(C10="Lejrskole",L10,0)</f>
        <v>0</v>
      </c>
      <c r="BD10" s="1">
        <f t="shared" si="9"/>
        <v>0</v>
      </c>
      <c r="BE10" s="1">
        <f t="shared" si="10"/>
        <v>0</v>
      </c>
      <c r="BF10" s="1">
        <f t="shared" si="11"/>
        <v>0</v>
      </c>
      <c r="BG10" s="214">
        <f>IF(AND(C10="Skema 1",B10="ma"),Skemaoplysninger!$E$30,"")</f>
        <v>0</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9" si="22">SUM(BG10:BZ10)*24+SUM(BC10:BF10)</f>
        <v>0</v>
      </c>
      <c r="CB10" s="1">
        <f t="shared" si="12"/>
        <v>0</v>
      </c>
      <c r="CC10" s="1">
        <f t="shared" si="13"/>
        <v>0</v>
      </c>
      <c r="CD10" s="214">
        <f>IF(AND(C10="Skema 1",B10="ma"),Skemaoplysninger!$E$39,"")</f>
        <v>0</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9" si="23">SUM(CY10:DF10)</f>
        <v>0</v>
      </c>
      <c r="DH10" t="str">
        <f t="shared" ref="DH10:DH39" si="24">IF(AND(E10&gt;0,H10&gt;0),""&amp;E10&amp;" og "&amp;H10&amp;"","")</f>
        <v/>
      </c>
      <c r="DI10">
        <f t="shared" ref="DI10:DI39" si="25">IF(H10="",E10,"")</f>
        <v>0</v>
      </c>
      <c r="DJ10">
        <f t="shared" ref="DJ10:DJ39" si="26">IF(E10="",H10,"")</f>
        <v>0</v>
      </c>
      <c r="DK10" t="str">
        <f t="shared" si="14"/>
        <v/>
      </c>
      <c r="DL10" t="str">
        <f t="shared" si="14"/>
        <v/>
      </c>
      <c r="DM10" t="str">
        <f t="shared" si="14"/>
        <v/>
      </c>
      <c r="DN10" t="str">
        <f t="shared" ref="DN10:DN39" si="27">DK10&amp;""&amp;DL10&amp;""&amp;DM10</f>
        <v/>
      </c>
    </row>
    <row r="11" spans="1:118">
      <c r="A11" s="249">
        <f t="shared" si="15"/>
        <v>3</v>
      </c>
      <c r="B11" s="132" t="str">
        <f t="shared" si="0"/>
        <v>ti</v>
      </c>
      <c r="C11" s="133" t="s">
        <v>209</v>
      </c>
      <c r="D11" s="134" t="str">
        <f t="shared" si="1"/>
        <v/>
      </c>
      <c r="E11" s="871"/>
      <c r="F11" s="872"/>
      <c r="G11" s="873"/>
      <c r="H11" s="313"/>
      <c r="I11" s="582"/>
      <c r="J11" s="440"/>
      <c r="K11" s="405"/>
      <c r="L11" s="405"/>
      <c r="M11" s="405"/>
      <c r="N11" s="334">
        <f t="shared" si="16"/>
        <v>0</v>
      </c>
      <c r="O11" s="334">
        <f t="shared" si="17"/>
        <v>0</v>
      </c>
      <c r="P11" s="334">
        <f>IF(Stamoplysninger!$H$29="JA",Oktober!DG11,CX11)</f>
        <v>0</v>
      </c>
      <c r="Q11" s="334">
        <f t="shared" si="18"/>
        <v>0</v>
      </c>
      <c r="R11" s="335"/>
      <c r="S11" s="341"/>
      <c r="T11" s="342"/>
      <c r="U11" s="342"/>
      <c r="V11" s="336"/>
      <c r="W11" s="472"/>
      <c r="X11" s="337"/>
      <c r="Y11">
        <f t="shared" si="19"/>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1",B11="ma"),Arbejdstidsoversigt!$E$44,"")</f>
        <v/>
      </c>
      <c r="AH11">
        <f>IF(AND(C11="Skema 1",B11="ti"),Arbejdstidsoversigt!$E$45,"")</f>
        <v>0</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8"/>
        <v>0</v>
      </c>
      <c r="BC11" s="1">
        <f t="shared" si="21"/>
        <v>0</v>
      </c>
      <c r="BD11" s="1">
        <f t="shared" si="9"/>
        <v>0</v>
      </c>
      <c r="BE11" s="1">
        <f t="shared" si="10"/>
        <v>0</v>
      </c>
      <c r="BF11" s="1">
        <f t="shared" si="11"/>
        <v>0</v>
      </c>
      <c r="BG11" s="214" t="str">
        <f>IF(AND(C11="Skema 1",B11="ma"),Skemaoplysninger!$E$30,"")</f>
        <v/>
      </c>
      <c r="BH11" s="214">
        <f>IF(AND(C11="Skema 1",B11="ti"),Skemaoplysninger!$F$30,"")</f>
        <v>0</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2"/>
        <v>0</v>
      </c>
      <c r="CC11" s="1">
        <f t="shared" si="13"/>
        <v>0</v>
      </c>
      <c r="CD11" s="214" t="str">
        <f>IF(AND(C11="Skema 1",B11="ma"),Skemaoplysninger!$E$39,"")</f>
        <v/>
      </c>
      <c r="CE11" s="214">
        <f>IF(AND(C11="Skema 1",B11="ti"),Skemaoplysninger!$F$39,"")</f>
        <v>0</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4"/>
        <v/>
      </c>
      <c r="DL11" t="str">
        <f t="shared" si="14"/>
        <v/>
      </c>
      <c r="DM11" t="str">
        <f t="shared" si="14"/>
        <v/>
      </c>
      <c r="DN11" t="str">
        <f t="shared" si="27"/>
        <v/>
      </c>
    </row>
    <row r="12" spans="1:118">
      <c r="A12" s="249">
        <f t="shared" si="15"/>
        <v>4</v>
      </c>
      <c r="B12" s="132" t="str">
        <f t="shared" si="0"/>
        <v>on</v>
      </c>
      <c r="C12" s="133" t="s">
        <v>209</v>
      </c>
      <c r="D12" s="134" t="str">
        <f t="shared" si="1"/>
        <v/>
      </c>
      <c r="E12" s="871"/>
      <c r="F12" s="872"/>
      <c r="G12" s="873"/>
      <c r="H12" s="313"/>
      <c r="I12" s="582"/>
      <c r="J12" s="440"/>
      <c r="K12" s="405"/>
      <c r="L12" s="405"/>
      <c r="M12" s="405"/>
      <c r="N12" s="334">
        <f t="shared" si="16"/>
        <v>0</v>
      </c>
      <c r="O12" s="334">
        <f t="shared" si="17"/>
        <v>0</v>
      </c>
      <c r="P12" s="334">
        <f>IF(Stamoplysninger!$H$29="JA",Oktober!DG12,CX12)</f>
        <v>0</v>
      </c>
      <c r="Q12" s="334">
        <f t="shared" si="18"/>
        <v>0</v>
      </c>
      <c r="R12" s="335"/>
      <c r="S12" s="341"/>
      <c r="T12" s="342"/>
      <c r="U12" s="342"/>
      <c r="V12" s="336"/>
      <c r="W12" s="472"/>
      <c r="X12" s="337"/>
      <c r="Y12">
        <f t="shared" si="19"/>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1",B12="ma"),Arbejdstidsoversigt!$E$44,"")</f>
        <v/>
      </c>
      <c r="AH12" t="str">
        <f>IF(AND(C12="Skema 1",B12="ti"),Arbejdstidsoversigt!$E$45,"")</f>
        <v/>
      </c>
      <c r="AI12">
        <f>IF(AND(C12="Skema 1",B12="on"),Arbejdstidsoversigt!$E$46,"")</f>
        <v>0</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8"/>
        <v>0</v>
      </c>
      <c r="BC12" s="1">
        <f t="shared" si="21"/>
        <v>0</v>
      </c>
      <c r="BD12" s="1">
        <f t="shared" si="9"/>
        <v>0</v>
      </c>
      <c r="BE12" s="1">
        <f t="shared" si="10"/>
        <v>0</v>
      </c>
      <c r="BF12" s="1">
        <f t="shared" si="11"/>
        <v>0</v>
      </c>
      <c r="BG12" s="214" t="str">
        <f>IF(AND(C12="Skema 1",B12="ma"),Skemaoplysninger!$E$30,"")</f>
        <v/>
      </c>
      <c r="BH12" s="214" t="str">
        <f>IF(AND(C12="Skema 1",B12="ti"),Skemaoplysninger!$F$30,"")</f>
        <v/>
      </c>
      <c r="BI12" s="214">
        <f>IF(AND(C12="Skema 1",B12="on"),Skemaoplysninger!$G$30,"")</f>
        <v>0</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2"/>
        <v>0</v>
      </c>
      <c r="CC12" s="1">
        <f t="shared" si="13"/>
        <v>0</v>
      </c>
      <c r="CD12" s="214" t="str">
        <f>IF(AND(C12="Skema 1",B12="ma"),Skemaoplysninger!$E$39,"")</f>
        <v/>
      </c>
      <c r="CE12" s="214" t="str">
        <f>IF(AND(C12="Skema 1",B12="ti"),Skemaoplysninger!$F$39,"")</f>
        <v/>
      </c>
      <c r="CF12" s="214">
        <f>IF(AND(C12="Skema 1",B12="on"),Skemaoplysninger!$G$39,"")</f>
        <v>0</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4"/>
        <v/>
      </c>
      <c r="DL12" t="str">
        <f t="shared" si="14"/>
        <v/>
      </c>
      <c r="DM12" t="str">
        <f t="shared" si="14"/>
        <v/>
      </c>
      <c r="DN12" t="str">
        <f t="shared" si="27"/>
        <v/>
      </c>
    </row>
    <row r="13" spans="1:118">
      <c r="A13" s="249">
        <f t="shared" si="15"/>
        <v>5</v>
      </c>
      <c r="B13" s="132" t="str">
        <f t="shared" si="0"/>
        <v>to</v>
      </c>
      <c r="C13" s="133" t="s">
        <v>209</v>
      </c>
      <c r="D13" s="134" t="str">
        <f t="shared" si="1"/>
        <v/>
      </c>
      <c r="E13" s="871"/>
      <c r="F13" s="872"/>
      <c r="G13" s="873"/>
      <c r="H13" s="313"/>
      <c r="I13" s="582"/>
      <c r="J13" s="440"/>
      <c r="K13" s="405"/>
      <c r="L13" s="405"/>
      <c r="M13" s="405"/>
      <c r="N13" s="334">
        <f t="shared" si="16"/>
        <v>0</v>
      </c>
      <c r="O13" s="334">
        <f t="shared" si="17"/>
        <v>0</v>
      </c>
      <c r="P13" s="334">
        <f>IF(Stamoplysninger!$H$29="JA",Oktober!DG13,CX13)</f>
        <v>0</v>
      </c>
      <c r="Q13" s="334">
        <f t="shared" si="18"/>
        <v>0</v>
      </c>
      <c r="R13" s="335"/>
      <c r="S13" s="341"/>
      <c r="T13" s="342"/>
      <c r="U13" s="342"/>
      <c r="V13" s="336"/>
      <c r="W13" s="472"/>
      <c r="X13" s="337"/>
      <c r="Y13">
        <f t="shared" si="19"/>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1",B13="ma"),Arbejdstidsoversigt!$E$44,"")</f>
        <v/>
      </c>
      <c r="AH13" t="str">
        <f>IF(AND(C13="Skema 1",B13="ti"),Arbejdstidsoversigt!$E$45,"")</f>
        <v/>
      </c>
      <c r="AI13" t="str">
        <f>IF(AND(C13="Skema 1",B13="on"),Arbejdstidsoversigt!$E$46,"")</f>
        <v/>
      </c>
      <c r="AJ13">
        <f>IF(AND(C13="Skema 1",B13="to"),Arbejdstidsoversigt!$E$47,"")</f>
        <v>0</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0</v>
      </c>
      <c r="BB13" s="233">
        <f t="shared" si="8"/>
        <v>0</v>
      </c>
      <c r="BC13" s="1">
        <f t="shared" si="21"/>
        <v>0</v>
      </c>
      <c r="BD13" s="1">
        <f t="shared" si="9"/>
        <v>0</v>
      </c>
      <c r="BE13" s="1">
        <f t="shared" si="10"/>
        <v>0</v>
      </c>
      <c r="BF13" s="1">
        <f t="shared" si="11"/>
        <v>0</v>
      </c>
      <c r="BG13" s="214" t="str">
        <f>IF(AND(C13="Skema 1",B13="ma"),Skemaoplysninger!$E$30,"")</f>
        <v/>
      </c>
      <c r="BH13" s="214" t="str">
        <f>IF(AND(C13="Skema 1",B13="ti"),Skemaoplysninger!$F$30,"")</f>
        <v/>
      </c>
      <c r="BI13" s="214" t="str">
        <f>IF(AND(C13="Skema 1",B13="on"),Skemaoplysninger!$G$30,"")</f>
        <v/>
      </c>
      <c r="BJ13" s="214">
        <f>IF(AND(C13="Skema 1",B13="to"),Skemaoplysninger!$H$30,"")</f>
        <v>0</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2"/>
        <v>0</v>
      </c>
      <c r="CC13" s="1">
        <f t="shared" si="13"/>
        <v>0</v>
      </c>
      <c r="CD13" s="214" t="str">
        <f>IF(AND(C13="Skema 1",B13="ma"),Skemaoplysninger!$E$39,"")</f>
        <v/>
      </c>
      <c r="CE13" s="214" t="str">
        <f>IF(AND(C13="Skema 1",B13="ti"),Skemaoplysninger!$F$39,"")</f>
        <v/>
      </c>
      <c r="CF13" s="214" t="str">
        <f>IF(AND(C13="Skema 1",B13="on"),Skemaoplysninger!$G$39,"")</f>
        <v/>
      </c>
      <c r="CG13" s="214">
        <f>IF(AND(C13="Skema 1",B13="to"),Skemaoplysninger!$H$39,"")</f>
        <v>0</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4"/>
        <v/>
      </c>
      <c r="DL13" t="str">
        <f t="shared" si="14"/>
        <v/>
      </c>
      <c r="DM13" t="str">
        <f t="shared" si="14"/>
        <v/>
      </c>
      <c r="DN13" t="str">
        <f t="shared" si="27"/>
        <v/>
      </c>
    </row>
    <row r="14" spans="1:118" ht="16" customHeight="1">
      <c r="A14" s="249">
        <f t="shared" si="15"/>
        <v>6</v>
      </c>
      <c r="B14" s="132" t="str">
        <f t="shared" si="0"/>
        <v>fr</v>
      </c>
      <c r="C14" s="133" t="s">
        <v>209</v>
      </c>
      <c r="D14" s="134" t="str">
        <f t="shared" si="1"/>
        <v/>
      </c>
      <c r="E14" s="871"/>
      <c r="F14" s="872"/>
      <c r="G14" s="873"/>
      <c r="H14" s="313"/>
      <c r="I14" s="582"/>
      <c r="J14" s="440"/>
      <c r="K14" s="405"/>
      <c r="L14" s="405"/>
      <c r="M14" s="405"/>
      <c r="N14" s="334">
        <f t="shared" si="16"/>
        <v>0</v>
      </c>
      <c r="O14" s="334">
        <f t="shared" si="17"/>
        <v>0</v>
      </c>
      <c r="P14" s="334">
        <f>IF(Stamoplysninger!$H$29="JA",Oktober!DG14,CX14)</f>
        <v>0</v>
      </c>
      <c r="Q14" s="334">
        <f t="shared" si="18"/>
        <v>0</v>
      </c>
      <c r="R14" s="335"/>
      <c r="S14" s="341"/>
      <c r="T14" s="342"/>
      <c r="U14" s="342"/>
      <c r="V14" s="336"/>
      <c r="W14" s="472"/>
      <c r="X14" s="337"/>
      <c r="Y14">
        <f t="shared" si="19"/>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1",B14="ma"),Arbejdstidsoversigt!$E$44,"")</f>
        <v/>
      </c>
      <c r="AH14" t="str">
        <f>IF(AND(C14="Skema 1",B14="ti"),Arbejdstidsoversigt!$E$45,"")</f>
        <v/>
      </c>
      <c r="AI14" t="str">
        <f>IF(AND(C14="Skema 1",B14="on"),Arbejdstidsoversigt!$E$46,"")</f>
        <v/>
      </c>
      <c r="AJ14" t="str">
        <f>IF(AND(C14="Skema 1",B14="to"),Arbejdstidsoversigt!$E$47,"")</f>
        <v/>
      </c>
      <c r="AK14">
        <f>IF(AND(C14="Skema 1",B14="fr"),Arbejdstidsoversigt!$E$48,"")</f>
        <v>0</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0</v>
      </c>
      <c r="BB14" s="233">
        <f t="shared" si="8"/>
        <v>0</v>
      </c>
      <c r="BC14" s="1">
        <f t="shared" si="21"/>
        <v>0</v>
      </c>
      <c r="BD14" s="1">
        <f t="shared" si="9"/>
        <v>0</v>
      </c>
      <c r="BE14" s="1">
        <f t="shared" si="10"/>
        <v>0</v>
      </c>
      <c r="BF14" s="1">
        <f t="shared" si="11"/>
        <v>0</v>
      </c>
      <c r="BG14" s="214" t="str">
        <f>IF(AND(C14="Skema 1",B14="ma"),Skemaoplysninger!$E$30,"")</f>
        <v/>
      </c>
      <c r="BH14" s="214" t="str">
        <f>IF(AND(C14="Skema 1",B14="ti"),Skemaoplysninger!$F$30,"")</f>
        <v/>
      </c>
      <c r="BI14" s="214" t="str">
        <f>IF(AND(C14="Skema 1",B14="on"),Skemaoplysninger!$G$30,"")</f>
        <v/>
      </c>
      <c r="BJ14" s="214" t="str">
        <f>IF(AND(C14="Skema 1",B14="to"),Skemaoplysninger!$H$30,"")</f>
        <v/>
      </c>
      <c r="BK14" s="214">
        <f>IF(AND(C14="Skema 1",B14="fr"),Skemaoplysninger!$I$30,"")</f>
        <v>0</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2"/>
        <v>0</v>
      </c>
      <c r="CC14" s="1">
        <f t="shared" si="13"/>
        <v>0</v>
      </c>
      <c r="CD14" s="214" t="str">
        <f>IF(AND(C14="Skema 1",B14="ma"),Skemaoplysninger!$E$39,"")</f>
        <v/>
      </c>
      <c r="CE14" s="214" t="str">
        <f>IF(AND(C14="Skema 1",B14="ti"),Skemaoplysninger!$F$39,"")</f>
        <v/>
      </c>
      <c r="CF14" s="214" t="str">
        <f>IF(AND(C14="Skema 1",B14="on"),Skemaoplysninger!$G$39,"")</f>
        <v/>
      </c>
      <c r="CG14" s="214" t="str">
        <f>IF(AND(C14="Skema 1",B14="to"),Skemaoplysninger!$H$39,"")</f>
        <v/>
      </c>
      <c r="CH14" s="214">
        <f>IF(AND(C14="Skema 1",B14="fr"),Skemaoplysninger!$I$39,"")</f>
        <v>0</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4"/>
        <v/>
      </c>
      <c r="DL14" t="str">
        <f t="shared" si="14"/>
        <v/>
      </c>
      <c r="DM14" t="str">
        <f t="shared" si="14"/>
        <v/>
      </c>
      <c r="DN14" t="str">
        <f t="shared" si="27"/>
        <v/>
      </c>
    </row>
    <row r="15" spans="1:118" ht="16" customHeight="1">
      <c r="A15" s="249">
        <f t="shared" si="15"/>
        <v>7</v>
      </c>
      <c r="B15" s="132" t="str">
        <f t="shared" si="0"/>
        <v>lø</v>
      </c>
      <c r="C15" s="133" t="s">
        <v>121</v>
      </c>
      <c r="D15" s="134" t="str">
        <f t="shared" si="1"/>
        <v/>
      </c>
      <c r="E15" s="871"/>
      <c r="F15" s="872"/>
      <c r="G15" s="873"/>
      <c r="H15" s="313"/>
      <c r="I15" s="440"/>
      <c r="J15" s="440"/>
      <c r="K15" s="405"/>
      <c r="L15" s="405"/>
      <c r="M15" s="405"/>
      <c r="N15" s="334">
        <f t="shared" si="16"/>
        <v>0</v>
      </c>
      <c r="O15" s="334">
        <f t="shared" si="17"/>
        <v>0</v>
      </c>
      <c r="P15" s="334">
        <f>IF(Stamoplysninger!$H$29="JA",Oktober!DG15,CX15)</f>
        <v>0</v>
      </c>
      <c r="Q15" s="334">
        <f t="shared" si="18"/>
        <v>0</v>
      </c>
      <c r="R15" s="335"/>
      <c r="S15" s="341"/>
      <c r="T15" s="342"/>
      <c r="U15" s="342"/>
      <c r="V15" s="336"/>
      <c r="W15" s="472"/>
      <c r="X15" s="337"/>
      <c r="Y15">
        <f t="shared" si="19"/>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1",B15="ma"),Arbejdstidsoversigt!$E$44,"")</f>
        <v/>
      </c>
      <c r="AH15" t="str">
        <f>IF(AND(C15="Skema 1",B15="ti"),Arbejdstidsoversigt!$E$45,"")</f>
        <v/>
      </c>
      <c r="AI15" t="str">
        <f>IF(AND(C15="Skema 1",B15="on"),Arbejdstidsoversigt!$E$46,"")</f>
        <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8"/>
        <v>0</v>
      </c>
      <c r="BC15" s="1">
        <f t="shared" si="21"/>
        <v>0</v>
      </c>
      <c r="BD15" s="1">
        <f t="shared" si="9"/>
        <v>0</v>
      </c>
      <c r="BE15" s="1">
        <f t="shared" si="10"/>
        <v>0</v>
      </c>
      <c r="BF15" s="1">
        <f t="shared" si="11"/>
        <v>0</v>
      </c>
      <c r="BG15" s="214" t="str">
        <f>IF(AND(C15="Skema 1",B15="ma"),Skemaoplysninger!$E$30,"")</f>
        <v/>
      </c>
      <c r="BH15" s="214" t="str">
        <f>IF(AND(C15="Skema 1",B15="ti"),Skemaoplysninger!$F$30,"")</f>
        <v/>
      </c>
      <c r="BI15" s="214" t="str">
        <f>IF(AND(C15="Skema 1",B15="on"),Skemaoplysninger!$G$30,"")</f>
        <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2"/>
        <v>0</v>
      </c>
      <c r="CC15" s="1">
        <f t="shared" si="13"/>
        <v>0</v>
      </c>
      <c r="CD15" s="214" t="str">
        <f>IF(AND(C15="Skema 1",B15="ma"),Skemaoplysninger!$E$39,"")</f>
        <v/>
      </c>
      <c r="CE15" s="214" t="str">
        <f>IF(AND(C15="Skema 1",B15="ti"),Skemaoplysninger!$F$39,"")</f>
        <v/>
      </c>
      <c r="CF15" s="214" t="str">
        <f>IF(AND(C15="Skema 1",B15="on"),Skemaoplysninger!$G$39,"")</f>
        <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4"/>
        <v/>
      </c>
      <c r="DL15" t="str">
        <f t="shared" si="14"/>
        <v/>
      </c>
      <c r="DM15" t="str">
        <f t="shared" si="14"/>
        <v/>
      </c>
      <c r="DN15" t="str">
        <f t="shared" si="27"/>
        <v/>
      </c>
    </row>
    <row r="16" spans="1:118">
      <c r="A16" s="249">
        <f t="shared" si="15"/>
        <v>8</v>
      </c>
      <c r="B16" s="132" t="str">
        <f t="shared" si="0"/>
        <v>sø</v>
      </c>
      <c r="C16" s="133" t="s">
        <v>121</v>
      </c>
      <c r="D16" s="134" t="str">
        <f t="shared" si="1"/>
        <v/>
      </c>
      <c r="E16" s="871"/>
      <c r="F16" s="872"/>
      <c r="G16" s="873"/>
      <c r="H16" s="313"/>
      <c r="I16" s="440"/>
      <c r="J16" s="440"/>
      <c r="K16" s="405"/>
      <c r="L16" s="405"/>
      <c r="M16" s="405"/>
      <c r="N16" s="334">
        <f t="shared" si="16"/>
        <v>0</v>
      </c>
      <c r="O16" s="334">
        <f t="shared" si="17"/>
        <v>0</v>
      </c>
      <c r="P16" s="334">
        <f>IF(Stamoplysninger!$H$29="JA",Oktober!DG16,CX16)</f>
        <v>0</v>
      </c>
      <c r="Q16" s="334">
        <f t="shared" si="18"/>
        <v>0</v>
      </c>
      <c r="R16" s="335"/>
      <c r="S16" s="341"/>
      <c r="T16" s="342"/>
      <c r="U16" s="342"/>
      <c r="V16" s="336"/>
      <c r="W16" s="472"/>
      <c r="X16" s="337"/>
      <c r="Y16">
        <f t="shared" si="19"/>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1",B16="ma"),Arbejdstidsoversigt!$E$44,"")</f>
        <v/>
      </c>
      <c r="AH16" t="str">
        <f>IF(AND(C16="Skema 1",B16="ti"),Arbejdstidsoversigt!$E$45,"")</f>
        <v/>
      </c>
      <c r="AI16" t="str">
        <f>IF(AND(C16="Skema 1",B16="on"),Arbejdstidsoversigt!$E$46,"")</f>
        <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0</v>
      </c>
      <c r="BB16" s="233">
        <f t="shared" si="8"/>
        <v>0</v>
      </c>
      <c r="BC16" s="1">
        <f t="shared" si="21"/>
        <v>0</v>
      </c>
      <c r="BD16" s="1">
        <f t="shared" si="9"/>
        <v>0</v>
      </c>
      <c r="BE16" s="1">
        <f t="shared" si="10"/>
        <v>0</v>
      </c>
      <c r="BF16" s="1">
        <f t="shared" si="11"/>
        <v>0</v>
      </c>
      <c r="BG16" s="214" t="str">
        <f>IF(AND(C16="Skema 1",B16="ma"),Skemaoplysninger!$E$30,"")</f>
        <v/>
      </c>
      <c r="BH16" s="214" t="str">
        <f>IF(AND(C16="Skema 1",B16="ti"),Skemaoplysninger!$F$30,"")</f>
        <v/>
      </c>
      <c r="BI16" s="214" t="str">
        <f>IF(AND(C16="Skema 1",B16="on"),Skemaoplysninger!$G$30,"")</f>
        <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2"/>
        <v>0</v>
      </c>
      <c r="CC16" s="1">
        <f t="shared" si="13"/>
        <v>0</v>
      </c>
      <c r="CD16" s="214" t="str">
        <f>IF(AND(C16="Skema 1",B16="ma"),Skemaoplysninger!$E$39,"")</f>
        <v/>
      </c>
      <c r="CE16" s="214" t="str">
        <f>IF(AND(C16="Skema 1",B16="ti"),Skemaoplysninger!$F$39,"")</f>
        <v/>
      </c>
      <c r="CF16" s="214" t="str">
        <f>IF(AND(C16="Skema 1",B16="on"),Skemaoplysninger!$G$39,"")</f>
        <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4"/>
        <v/>
      </c>
      <c r="DL16" t="str">
        <f t="shared" si="14"/>
        <v/>
      </c>
      <c r="DM16" t="str">
        <f t="shared" si="14"/>
        <v/>
      </c>
      <c r="DN16" t="str">
        <f t="shared" si="27"/>
        <v/>
      </c>
    </row>
    <row r="17" spans="1:118">
      <c r="A17" s="249">
        <f t="shared" si="15"/>
        <v>9</v>
      </c>
      <c r="B17" s="132" t="str">
        <f t="shared" si="0"/>
        <v>ma</v>
      </c>
      <c r="C17" s="133" t="s">
        <v>209</v>
      </c>
      <c r="D17" s="134">
        <f t="shared" si="1"/>
        <v>41.142857142857146</v>
      </c>
      <c r="E17" s="871"/>
      <c r="F17" s="872"/>
      <c r="G17" s="873"/>
      <c r="H17" s="313"/>
      <c r="I17" s="582"/>
      <c r="J17" s="440"/>
      <c r="K17" s="405"/>
      <c r="L17" s="405"/>
      <c r="M17" s="405"/>
      <c r="N17" s="334">
        <f t="shared" si="16"/>
        <v>0</v>
      </c>
      <c r="O17" s="334">
        <f t="shared" si="17"/>
        <v>0</v>
      </c>
      <c r="P17" s="334">
        <f>IF(Stamoplysninger!$H$29="JA",Oktober!DG17,CX17)</f>
        <v>0</v>
      </c>
      <c r="Q17" s="334">
        <f t="shared" si="18"/>
        <v>0</v>
      </c>
      <c r="R17" s="335"/>
      <c r="S17" s="341"/>
      <c r="T17" s="342"/>
      <c r="U17" s="342"/>
      <c r="V17" s="336"/>
      <c r="W17" s="472"/>
      <c r="X17" s="337"/>
      <c r="Y17">
        <f t="shared" si="19"/>
        <v>0</v>
      </c>
      <c r="Z17">
        <f t="shared" si="2"/>
        <v>0</v>
      </c>
      <c r="AA17" s="1">
        <f t="shared" si="3"/>
        <v>0</v>
      </c>
      <c r="AB17" s="1">
        <f t="shared" si="4"/>
        <v>0</v>
      </c>
      <c r="AC17" s="1">
        <f t="shared" si="5"/>
        <v>0</v>
      </c>
      <c r="AD17" s="1">
        <f t="shared" si="6"/>
        <v>0</v>
      </c>
      <c r="AE17" s="1">
        <f t="shared" si="7"/>
        <v>0</v>
      </c>
      <c r="AF17" s="1">
        <f>IF(C17="Orlov",7.4*Stamoplysninger!$E$15,0)</f>
        <v>0</v>
      </c>
      <c r="AG17">
        <f>IF(AND(C17="Skema 1",B17="ma"),Arbejdstidsoversigt!$E$44,"")</f>
        <v>0</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8"/>
        <v>0</v>
      </c>
      <c r="BC17" s="1">
        <f t="shared" si="21"/>
        <v>0</v>
      </c>
      <c r="BD17" s="1">
        <f t="shared" si="9"/>
        <v>0</v>
      </c>
      <c r="BE17" s="1">
        <f t="shared" si="10"/>
        <v>0</v>
      </c>
      <c r="BF17" s="1">
        <f t="shared" si="11"/>
        <v>0</v>
      </c>
      <c r="BG17" s="214">
        <f>IF(AND(C17="Skema 1",B17="ma"),Skemaoplysninger!$E$30,"")</f>
        <v>0</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2"/>
        <v>0</v>
      </c>
      <c r="CC17" s="1">
        <f t="shared" si="13"/>
        <v>0</v>
      </c>
      <c r="CD17" s="214">
        <f>IF(AND(C17="Skema 1",B17="ma"),Skemaoplysninger!$E$39,"")</f>
        <v>0</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4"/>
        <v/>
      </c>
      <c r="DL17" t="str">
        <f t="shared" si="14"/>
        <v/>
      </c>
      <c r="DM17" t="str">
        <f t="shared" si="14"/>
        <v/>
      </c>
      <c r="DN17" t="str">
        <f t="shared" si="27"/>
        <v/>
      </c>
    </row>
    <row r="18" spans="1:118">
      <c r="A18" s="249">
        <f t="shared" si="15"/>
        <v>10</v>
      </c>
      <c r="B18" s="132" t="str">
        <f t="shared" si="0"/>
        <v>ti</v>
      </c>
      <c r="C18" s="133" t="s">
        <v>209</v>
      </c>
      <c r="D18" s="134" t="str">
        <f t="shared" si="1"/>
        <v/>
      </c>
      <c r="E18" s="871"/>
      <c r="F18" s="872"/>
      <c r="G18" s="873"/>
      <c r="H18" s="313"/>
      <c r="I18" s="582"/>
      <c r="J18" s="440"/>
      <c r="K18" s="405"/>
      <c r="L18" s="405"/>
      <c r="M18" s="405"/>
      <c r="N18" s="334">
        <f t="shared" si="16"/>
        <v>0</v>
      </c>
      <c r="O18" s="334">
        <f t="shared" si="17"/>
        <v>0</v>
      </c>
      <c r="P18" s="334">
        <f>IF(Stamoplysninger!$H$29="JA",Oktober!DG18,CX18)</f>
        <v>0</v>
      </c>
      <c r="Q18" s="334">
        <f t="shared" si="18"/>
        <v>0</v>
      </c>
      <c r="R18" s="335"/>
      <c r="S18" s="341"/>
      <c r="T18" s="342"/>
      <c r="U18" s="342"/>
      <c r="V18" s="336"/>
      <c r="W18" s="472"/>
      <c r="X18" s="337"/>
      <c r="Y18">
        <f t="shared" si="19"/>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1",B18="ma"),Arbejdstidsoversigt!$E$44,"")</f>
        <v/>
      </c>
      <c r="AH18">
        <f>IF(AND(C18="Skema 1",B18="ti"),Arbejdstidsoversigt!$E$45,"")</f>
        <v>0</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8"/>
        <v>0</v>
      </c>
      <c r="BC18" s="1">
        <f t="shared" si="21"/>
        <v>0</v>
      </c>
      <c r="BD18" s="1">
        <f t="shared" si="9"/>
        <v>0</v>
      </c>
      <c r="BE18" s="1">
        <f t="shared" si="10"/>
        <v>0</v>
      </c>
      <c r="BF18" s="1">
        <f t="shared" si="11"/>
        <v>0</v>
      </c>
      <c r="BG18" s="214" t="str">
        <f>IF(AND(C18="Skema 1",B18="ma"),Skemaoplysninger!$E$30,"")</f>
        <v/>
      </c>
      <c r="BH18" s="214">
        <f>IF(AND(C18="Skema 1",B18="ti"),Skemaoplysninger!$F$30,"")</f>
        <v>0</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2"/>
        <v>0</v>
      </c>
      <c r="CC18" s="1">
        <f t="shared" si="13"/>
        <v>0</v>
      </c>
      <c r="CD18" s="214" t="str">
        <f>IF(AND(C18="Skema 1",B18="ma"),Skemaoplysninger!$E$39,"")</f>
        <v/>
      </c>
      <c r="CE18" s="214">
        <f>IF(AND(C18="Skema 1",B18="ti"),Skemaoplysninger!$F$39,"")</f>
        <v>0</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4"/>
        <v/>
      </c>
      <c r="DL18" t="str">
        <f t="shared" si="14"/>
        <v/>
      </c>
      <c r="DM18" t="str">
        <f t="shared" si="14"/>
        <v/>
      </c>
      <c r="DN18" t="str">
        <f t="shared" si="27"/>
        <v/>
      </c>
    </row>
    <row r="19" spans="1:118">
      <c r="A19" s="249">
        <f t="shared" si="15"/>
        <v>11</v>
      </c>
      <c r="B19" s="132" t="str">
        <f t="shared" si="0"/>
        <v>on</v>
      </c>
      <c r="C19" s="133" t="s">
        <v>209</v>
      </c>
      <c r="D19" s="134" t="str">
        <f t="shared" si="1"/>
        <v/>
      </c>
      <c r="E19" s="871"/>
      <c r="F19" s="872"/>
      <c r="G19" s="873"/>
      <c r="H19" s="313"/>
      <c r="I19" s="582"/>
      <c r="J19" s="440"/>
      <c r="K19" s="405"/>
      <c r="L19" s="405"/>
      <c r="M19" s="405"/>
      <c r="N19" s="334">
        <f t="shared" si="16"/>
        <v>0</v>
      </c>
      <c r="O19" s="334">
        <f t="shared" si="17"/>
        <v>0</v>
      </c>
      <c r="P19" s="334">
        <f>IF(Stamoplysninger!$H$29="JA",Oktober!DG19,CX19)</f>
        <v>0</v>
      </c>
      <c r="Q19" s="334">
        <f t="shared" si="18"/>
        <v>0</v>
      </c>
      <c r="R19" s="335"/>
      <c r="S19" s="341"/>
      <c r="T19" s="342"/>
      <c r="U19" s="342"/>
      <c r="V19" s="336"/>
      <c r="W19" s="472"/>
      <c r="X19" s="337"/>
      <c r="Y19">
        <f t="shared" si="19"/>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1",B19="ma"),Arbejdstidsoversigt!$E$44,"")</f>
        <v/>
      </c>
      <c r="AH19" t="str">
        <f>IF(AND(C19="Skema 1",B19="ti"),Arbejdstidsoversigt!$E$45,"")</f>
        <v/>
      </c>
      <c r="AI19">
        <f>IF(AND(C19="Skema 1",B19="on"),Arbejdstidsoversigt!$E$46,"")</f>
        <v>0</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8"/>
        <v>0</v>
      </c>
      <c r="BC19" s="1">
        <f t="shared" si="21"/>
        <v>0</v>
      </c>
      <c r="BD19" s="1">
        <f t="shared" si="9"/>
        <v>0</v>
      </c>
      <c r="BE19" s="1">
        <f t="shared" si="10"/>
        <v>0</v>
      </c>
      <c r="BF19" s="1">
        <f t="shared" si="11"/>
        <v>0</v>
      </c>
      <c r="BG19" s="214" t="str">
        <f>IF(AND(C19="Skema 1",B19="ma"),Skemaoplysninger!$E$30,"")</f>
        <v/>
      </c>
      <c r="BH19" s="214" t="str">
        <f>IF(AND(C19="Skema 1",B19="ti"),Skemaoplysninger!$F$30,"")</f>
        <v/>
      </c>
      <c r="BI19" s="214">
        <f>IF(AND(C19="Skema 1",B19="on"),Skemaoplysninger!$G$30,"")</f>
        <v>0</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2"/>
        <v>0</v>
      </c>
      <c r="CC19" s="1">
        <f t="shared" si="13"/>
        <v>0</v>
      </c>
      <c r="CD19" s="214" t="str">
        <f>IF(AND(C19="Skema 1",B19="ma"),Skemaoplysninger!$E$39,"")</f>
        <v/>
      </c>
      <c r="CE19" s="214" t="str">
        <f>IF(AND(C19="Skema 1",B19="ti"),Skemaoplysninger!$F$39,"")</f>
        <v/>
      </c>
      <c r="CF19" s="214">
        <f>IF(AND(C19="Skema 1",B19="on"),Skemaoplysninger!$G$39,"")</f>
        <v>0</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4"/>
        <v/>
      </c>
      <c r="DL19" t="str">
        <f t="shared" si="14"/>
        <v/>
      </c>
      <c r="DM19" t="str">
        <f t="shared" si="14"/>
        <v/>
      </c>
      <c r="DN19" t="str">
        <f t="shared" si="27"/>
        <v/>
      </c>
    </row>
    <row r="20" spans="1:118">
      <c r="A20" s="249">
        <f>IF(ISNUMBER(A19),A19+1,1)</f>
        <v>12</v>
      </c>
      <c r="B20" s="132" t="str">
        <f t="shared" si="0"/>
        <v>to</v>
      </c>
      <c r="C20" s="133" t="s">
        <v>209</v>
      </c>
      <c r="D20" s="134" t="str">
        <f t="shared" si="1"/>
        <v/>
      </c>
      <c r="E20" s="871"/>
      <c r="F20" s="872"/>
      <c r="G20" s="873"/>
      <c r="H20" s="313"/>
      <c r="I20" s="582"/>
      <c r="J20" s="440"/>
      <c r="K20" s="405"/>
      <c r="L20" s="405"/>
      <c r="M20" s="405"/>
      <c r="N20" s="334">
        <f t="shared" si="16"/>
        <v>0</v>
      </c>
      <c r="O20" s="334">
        <f t="shared" si="17"/>
        <v>0</v>
      </c>
      <c r="P20" s="334">
        <f>IF(Stamoplysninger!$H$29="JA",Oktober!DG20,CX20)</f>
        <v>0</v>
      </c>
      <c r="Q20" s="334">
        <f t="shared" si="18"/>
        <v>0</v>
      </c>
      <c r="R20" s="335"/>
      <c r="S20" s="341"/>
      <c r="T20" s="342"/>
      <c r="U20" s="342"/>
      <c r="V20" s="336"/>
      <c r="W20" s="472"/>
      <c r="X20" s="337"/>
      <c r="Y20">
        <f t="shared" si="19"/>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1",B20="ma"),Arbejdstidsoversigt!$E$44,"")</f>
        <v/>
      </c>
      <c r="AH20" t="str">
        <f>IF(AND(C20="Skema 1",B20="ti"),Arbejdstidsoversigt!$E$45,"")</f>
        <v/>
      </c>
      <c r="AI20" t="str">
        <f>IF(AND(C20="Skema 1",B20="on"),Arbejdstidsoversigt!$E$46,"")</f>
        <v/>
      </c>
      <c r="AJ20">
        <f>IF(AND(C20="Skema 1",B20="to"),Arbejdstidsoversigt!$E$47,"")</f>
        <v>0</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8"/>
        <v>0</v>
      </c>
      <c r="BC20" s="1">
        <f t="shared" si="21"/>
        <v>0</v>
      </c>
      <c r="BD20" s="1">
        <f t="shared" si="9"/>
        <v>0</v>
      </c>
      <c r="BE20" s="1">
        <f t="shared" si="10"/>
        <v>0</v>
      </c>
      <c r="BF20" s="1">
        <f t="shared" si="11"/>
        <v>0</v>
      </c>
      <c r="BG20" s="214" t="str">
        <f>IF(AND(C20="Skema 1",B20="ma"),Skemaoplysninger!$E$30,"")</f>
        <v/>
      </c>
      <c r="BH20" s="214" t="str">
        <f>IF(AND(C20="Skema 1",B20="ti"),Skemaoplysninger!$F$30,"")</f>
        <v/>
      </c>
      <c r="BI20" s="214" t="str">
        <f>IF(AND(C20="Skema 1",B20="on"),Skemaoplysninger!$G$30,"")</f>
        <v/>
      </c>
      <c r="BJ20" s="214">
        <f>IF(AND(C20="Skema 1",B20="to"),Skemaoplysninger!$H$30,"")</f>
        <v>0</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2"/>
        <v>0</v>
      </c>
      <c r="CC20" s="1">
        <f t="shared" si="13"/>
        <v>0</v>
      </c>
      <c r="CD20" s="214" t="str">
        <f>IF(AND(C20="Skema 1",B20="ma"),Skemaoplysninger!$E$39,"")</f>
        <v/>
      </c>
      <c r="CE20" s="214" t="str">
        <f>IF(AND(C20="Skema 1",B20="ti"),Skemaoplysninger!$F$39,"")</f>
        <v/>
      </c>
      <c r="CF20" s="214" t="str">
        <f>IF(AND(C20="Skema 1",B20="on"),Skemaoplysninger!$G$39,"")</f>
        <v/>
      </c>
      <c r="CG20" s="214">
        <f>IF(AND(C20="Skema 1",B20="to"),Skemaoplysninger!$H$39,"")</f>
        <v>0</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f t="shared" si="25"/>
        <v>0</v>
      </c>
      <c r="DJ20">
        <f t="shared" si="26"/>
        <v>0</v>
      </c>
      <c r="DK20" t="str">
        <f t="shared" si="14"/>
        <v/>
      </c>
      <c r="DL20" t="str">
        <f t="shared" si="14"/>
        <v/>
      </c>
      <c r="DM20" t="str">
        <f t="shared" si="14"/>
        <v/>
      </c>
      <c r="DN20" t="str">
        <f t="shared" si="27"/>
        <v/>
      </c>
    </row>
    <row r="21" spans="1:118">
      <c r="A21" s="249">
        <f>IF(ISNUMBER(A20),A20+1,1)</f>
        <v>13</v>
      </c>
      <c r="B21" s="132" t="str">
        <f t="shared" si="0"/>
        <v>fr</v>
      </c>
      <c r="C21" s="133" t="s">
        <v>209</v>
      </c>
      <c r="D21" s="134" t="str">
        <f t="shared" si="1"/>
        <v/>
      </c>
      <c r="E21" s="868"/>
      <c r="F21" s="869"/>
      <c r="G21" s="870"/>
      <c r="H21" s="312"/>
      <c r="I21" s="582"/>
      <c r="J21" s="440"/>
      <c r="K21" s="405"/>
      <c r="L21" s="405"/>
      <c r="M21" s="405"/>
      <c r="N21" s="334">
        <f t="shared" si="16"/>
        <v>0</v>
      </c>
      <c r="O21" s="334">
        <f t="shared" si="17"/>
        <v>0</v>
      </c>
      <c r="P21" s="334">
        <f>IF(Stamoplysninger!$H$29="JA",Oktober!DG21,CX21)</f>
        <v>0</v>
      </c>
      <c r="Q21" s="334">
        <f t="shared" si="18"/>
        <v>0</v>
      </c>
      <c r="R21" s="335"/>
      <c r="S21" s="341"/>
      <c r="T21" s="342"/>
      <c r="U21" s="342"/>
      <c r="V21" s="336"/>
      <c r="W21" s="472"/>
      <c r="X21" s="337"/>
      <c r="Y21">
        <f t="shared" si="19"/>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1",B21="ma"),Arbejdstidsoversigt!$E$44,"")</f>
        <v/>
      </c>
      <c r="AH21" t="str">
        <f>IF(AND(C21="Skema 1",B21="ti"),Arbejdstidsoversigt!$E$45,"")</f>
        <v/>
      </c>
      <c r="AI21" t="str">
        <f>IF(AND(C21="Skema 1",B21="on"),Arbejdstidsoversigt!$E$46,"")</f>
        <v/>
      </c>
      <c r="AJ21" t="str">
        <f>IF(AND(C21="Skema 1",B21="to"),Arbejdstidsoversigt!$E$47,"")</f>
        <v/>
      </c>
      <c r="AK21">
        <f>IF(AND(C21="Skema 1",B21="fr"),Arbejdstidsoversigt!$E$48,"")</f>
        <v>0</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8"/>
        <v>0</v>
      </c>
      <c r="BC21" s="1">
        <f t="shared" si="21"/>
        <v>0</v>
      </c>
      <c r="BD21" s="1">
        <f t="shared" si="9"/>
        <v>0</v>
      </c>
      <c r="BE21" s="1">
        <f t="shared" si="10"/>
        <v>0</v>
      </c>
      <c r="BF21" s="1">
        <f t="shared" si="11"/>
        <v>0</v>
      </c>
      <c r="BG21" s="214" t="str">
        <f>IF(AND(C21="Skema 1",B21="ma"),Skemaoplysninger!$E$30,"")</f>
        <v/>
      </c>
      <c r="BH21" s="214" t="str">
        <f>IF(AND(C21="Skema 1",B21="ti"),Skemaoplysninger!$F$30,"")</f>
        <v/>
      </c>
      <c r="BI21" s="214" t="str">
        <f>IF(AND(C21="Skema 1",B21="on"),Skemaoplysninger!$G$30,"")</f>
        <v/>
      </c>
      <c r="BJ21" s="214" t="str">
        <f>IF(AND(C21="Skema 1",B21="to"),Skemaoplysninger!$H$30,"")</f>
        <v/>
      </c>
      <c r="BK21" s="214">
        <f>IF(AND(C21="Skema 1",B21="fr"),Skemaoplysninger!$I$30,"")</f>
        <v>0</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2"/>
        <v>0</v>
      </c>
      <c r="CC21" s="1">
        <f t="shared" si="13"/>
        <v>0</v>
      </c>
      <c r="CD21" s="214" t="str">
        <f>IF(AND(C21="Skema 1",B21="ma"),Skemaoplysninger!$E$39,"")</f>
        <v/>
      </c>
      <c r="CE21" s="214" t="str">
        <f>IF(AND(C21="Skema 1",B21="ti"),Skemaoplysninger!$F$39,"")</f>
        <v/>
      </c>
      <c r="CF21" s="214" t="str">
        <f>IF(AND(C21="Skema 1",B21="on"),Skemaoplysninger!$G$39,"")</f>
        <v/>
      </c>
      <c r="CG21" s="214" t="str">
        <f>IF(AND(C21="Skema 1",B21="to"),Skemaoplysninger!$H$39,"")</f>
        <v/>
      </c>
      <c r="CH21" s="214">
        <f>IF(AND(C21="Skema 1",B21="fr"),Skemaoplysninger!$I$39,"")</f>
        <v>0</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4"/>
        <v/>
      </c>
      <c r="DL21" t="str">
        <f t="shared" si="14"/>
        <v/>
      </c>
      <c r="DM21" t="str">
        <f t="shared" si="14"/>
        <v/>
      </c>
      <c r="DN21" t="str">
        <f t="shared" si="27"/>
        <v/>
      </c>
    </row>
    <row r="22" spans="1:118">
      <c r="A22" s="249">
        <f t="shared" si="15"/>
        <v>14</v>
      </c>
      <c r="B22" s="132" t="str">
        <f t="shared" si="0"/>
        <v>lø</v>
      </c>
      <c r="C22" s="133" t="s">
        <v>121</v>
      </c>
      <c r="D22" s="134" t="str">
        <f t="shared" si="1"/>
        <v/>
      </c>
      <c r="E22" s="868"/>
      <c r="F22" s="869"/>
      <c r="G22" s="870"/>
      <c r="H22" s="312"/>
      <c r="I22" s="440"/>
      <c r="J22" s="440"/>
      <c r="K22" s="405"/>
      <c r="L22" s="405"/>
      <c r="M22" s="405"/>
      <c r="N22" s="334">
        <f t="shared" si="16"/>
        <v>0</v>
      </c>
      <c r="O22" s="334">
        <f t="shared" si="17"/>
        <v>0</v>
      </c>
      <c r="P22" s="334">
        <f>IF(Stamoplysninger!$H$29="JA",Oktober!DG22,CX22)</f>
        <v>0</v>
      </c>
      <c r="Q22" s="334">
        <f t="shared" si="18"/>
        <v>0</v>
      </c>
      <c r="R22" s="335"/>
      <c r="S22" s="341"/>
      <c r="T22" s="342"/>
      <c r="U22" s="342"/>
      <c r="V22" s="336"/>
      <c r="W22" s="472"/>
      <c r="X22" s="337"/>
      <c r="Y22">
        <f t="shared" si="19"/>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1",B22="ma"),Arbejdstidsoversigt!$E$44,"")</f>
        <v/>
      </c>
      <c r="AH22" t="str">
        <f>IF(AND(C22="Skema 1",B22="ti"),Arbejdstidsoversigt!$E$45,"")</f>
        <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8"/>
        <v>0</v>
      </c>
      <c r="BC22" s="1">
        <f t="shared" si="21"/>
        <v>0</v>
      </c>
      <c r="BD22" s="1">
        <f t="shared" si="9"/>
        <v>0</v>
      </c>
      <c r="BE22" s="1">
        <f t="shared" si="10"/>
        <v>0</v>
      </c>
      <c r="BF22" s="1">
        <f t="shared" si="11"/>
        <v>0</v>
      </c>
      <c r="BG22" s="214" t="str">
        <f>IF(AND(C22="Skema 1",B22="ma"),Skemaoplysninger!$E$30,"")</f>
        <v/>
      </c>
      <c r="BH22" s="214" t="str">
        <f>IF(AND(C22="Skema 1",B22="ti"),Skemaoplysninger!$F$30,"")</f>
        <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2"/>
        <v>0</v>
      </c>
      <c r="CC22" s="1">
        <f t="shared" si="13"/>
        <v>0</v>
      </c>
      <c r="CD22" s="214" t="str">
        <f>IF(AND(C22="Skema 1",B22="ma"),Skemaoplysninger!$E$39,"")</f>
        <v/>
      </c>
      <c r="CE22" s="214" t="str">
        <f>IF(AND(C22="Skema 1",B22="ti"),Skemaoplysninger!$F$39,"")</f>
        <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4"/>
        <v/>
      </c>
      <c r="DL22" t="str">
        <f t="shared" si="14"/>
        <v/>
      </c>
      <c r="DM22" t="str">
        <f t="shared" si="14"/>
        <v/>
      </c>
      <c r="DN22" t="str">
        <f t="shared" si="27"/>
        <v/>
      </c>
    </row>
    <row r="23" spans="1:118">
      <c r="A23" s="249">
        <f t="shared" si="15"/>
        <v>15</v>
      </c>
      <c r="B23" s="132" t="str">
        <f t="shared" si="0"/>
        <v>sø</v>
      </c>
      <c r="C23" s="133" t="s">
        <v>121</v>
      </c>
      <c r="D23" s="134" t="str">
        <f t="shared" si="1"/>
        <v/>
      </c>
      <c r="E23" s="868"/>
      <c r="F23" s="869"/>
      <c r="G23" s="870"/>
      <c r="H23" s="312"/>
      <c r="I23" s="440"/>
      <c r="J23" s="440"/>
      <c r="K23" s="405"/>
      <c r="L23" s="405"/>
      <c r="M23" s="405"/>
      <c r="N23" s="334">
        <f t="shared" si="16"/>
        <v>0</v>
      </c>
      <c r="O23" s="334">
        <f t="shared" si="17"/>
        <v>0</v>
      </c>
      <c r="P23" s="334">
        <f>IF(Stamoplysninger!$H$29="JA",Oktober!DG23,CX23)</f>
        <v>0</v>
      </c>
      <c r="Q23" s="334">
        <f t="shared" si="18"/>
        <v>0</v>
      </c>
      <c r="R23" s="335"/>
      <c r="S23" s="341"/>
      <c r="T23" s="342"/>
      <c r="U23" s="342"/>
      <c r="V23" s="336"/>
      <c r="W23" s="472"/>
      <c r="X23" s="337"/>
      <c r="Y23">
        <f t="shared" si="19"/>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1",B23="ma"),Arbejdstidsoversigt!$E$44,"")</f>
        <v/>
      </c>
      <c r="AH23" t="str">
        <f>IF(AND(C23="Skema 1",B23="ti"),Arbejdstidsoversigt!$E$45,"")</f>
        <v/>
      </c>
      <c r="AI23" t="str">
        <f>IF(AND(C23="Skema 1",B23="on"),Arbejdstidsoversigt!$E$46,"")</f>
        <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8"/>
        <v>0</v>
      </c>
      <c r="BC23" s="1">
        <f t="shared" si="21"/>
        <v>0</v>
      </c>
      <c r="BD23" s="1">
        <f t="shared" si="9"/>
        <v>0</v>
      </c>
      <c r="BE23" s="1">
        <f t="shared" si="10"/>
        <v>0</v>
      </c>
      <c r="BF23" s="1">
        <f t="shared" si="11"/>
        <v>0</v>
      </c>
      <c r="BG23" s="214" t="str">
        <f>IF(AND(C23="Skema 1",B23="ma"),Skemaoplysninger!$E$30,"")</f>
        <v/>
      </c>
      <c r="BH23" s="214" t="str">
        <f>IF(AND(C23="Skema 1",B23="ti"),Skemaoplysninger!$F$30,"")</f>
        <v/>
      </c>
      <c r="BI23" s="214" t="str">
        <f>IF(AND(C23="Skema 1",B23="on"),Skemaoplysninger!$G$30,"")</f>
        <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2"/>
        <v>0</v>
      </c>
      <c r="CC23" s="1">
        <f t="shared" si="13"/>
        <v>0</v>
      </c>
      <c r="CD23" s="214" t="str">
        <f>IF(AND(C23="Skema 1",B23="ma"),Skemaoplysninger!$E$39,"")</f>
        <v/>
      </c>
      <c r="CE23" s="214" t="str">
        <f>IF(AND(C23="Skema 1",B23="ti"),Skemaoplysninger!$F$39,"")</f>
        <v/>
      </c>
      <c r="CF23" s="214" t="str">
        <f>IF(AND(C23="Skema 1",B23="on"),Skemaoplysninger!$G$39,"")</f>
        <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4"/>
        <v/>
      </c>
      <c r="DL23" t="str">
        <f t="shared" si="14"/>
        <v/>
      </c>
      <c r="DM23" t="str">
        <f t="shared" si="14"/>
        <v/>
      </c>
      <c r="DN23" t="str">
        <f t="shared" si="27"/>
        <v/>
      </c>
    </row>
    <row r="24" spans="1:118">
      <c r="A24" s="249">
        <f>IF(ISNUMBER(A23),A23+1,1)</f>
        <v>16</v>
      </c>
      <c r="B24" s="132" t="str">
        <f t="shared" si="0"/>
        <v>ma</v>
      </c>
      <c r="C24" s="133" t="s">
        <v>213</v>
      </c>
      <c r="D24" s="134">
        <f t="shared" si="1"/>
        <v>42.142857142857146</v>
      </c>
      <c r="E24" s="871" t="s">
        <v>141</v>
      </c>
      <c r="F24" s="872"/>
      <c r="G24" s="873"/>
      <c r="H24" s="313"/>
      <c r="I24" s="582"/>
      <c r="J24" s="440"/>
      <c r="K24" s="405"/>
      <c r="L24" s="405"/>
      <c r="M24" s="405"/>
      <c r="N24" s="334">
        <f t="shared" si="16"/>
        <v>0</v>
      </c>
      <c r="O24" s="334">
        <f t="shared" si="17"/>
        <v>0</v>
      </c>
      <c r="P24" s="334">
        <f>IF(Stamoplysninger!$H$29="JA",Oktober!DG24,CX24)</f>
        <v>0</v>
      </c>
      <c r="Q24" s="334">
        <f t="shared" si="18"/>
        <v>0</v>
      </c>
      <c r="R24" s="335"/>
      <c r="S24" s="341"/>
      <c r="T24" s="342"/>
      <c r="U24" s="342"/>
      <c r="V24" s="336"/>
      <c r="W24" s="472"/>
      <c r="X24" s="337"/>
      <c r="Y24">
        <f t="shared" si="19"/>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1",B24="ma"),Arbejdstidsoversigt!$E$44,"")</f>
        <v/>
      </c>
      <c r="AH24" t="str">
        <f>IF(AND(C24="Skema 1",B24="ti"),Arbejdstidsoversigt!$E$45,"")</f>
        <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8"/>
        <v>0</v>
      </c>
      <c r="BC24" s="1">
        <f t="shared" si="21"/>
        <v>0</v>
      </c>
      <c r="BD24" s="1">
        <f t="shared" si="9"/>
        <v>0</v>
      </c>
      <c r="BE24" s="1">
        <f t="shared" si="10"/>
        <v>0</v>
      </c>
      <c r="BF24" s="1">
        <f t="shared" si="11"/>
        <v>0</v>
      </c>
      <c r="BG24" s="214" t="str">
        <f>IF(AND(C24="Skema 1",B24="ma"),Skemaoplysninger!$E$30,"")</f>
        <v/>
      </c>
      <c r="BH24" s="214" t="str">
        <f>IF(AND(C24="Skema 1",B24="ti"),Skemaoplysninger!$F$30,"")</f>
        <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2"/>
        <v>0</v>
      </c>
      <c r="CC24" s="1">
        <f t="shared" si="13"/>
        <v>0</v>
      </c>
      <c r="CD24" s="214" t="str">
        <f>IF(AND(C24="Skema 1",B24="ma"),Skemaoplysninger!$E$39,"")</f>
        <v/>
      </c>
      <c r="CE24" s="214" t="str">
        <f>IF(AND(C24="Skema 1",B24="ti"),Skemaoplysninger!$F$39,"")</f>
        <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t="str">
        <f t="shared" si="25"/>
        <v>Efterårsferie</v>
      </c>
      <c r="DJ24" t="str">
        <f t="shared" si="26"/>
        <v/>
      </c>
      <c r="DK24" t="str">
        <f t="shared" si="14"/>
        <v/>
      </c>
      <c r="DL24" t="str">
        <f t="shared" si="14"/>
        <v>Efterårsferie</v>
      </c>
      <c r="DM24" t="str">
        <f t="shared" si="14"/>
        <v/>
      </c>
      <c r="DN24" t="str">
        <f t="shared" si="27"/>
        <v>Efterårsferie</v>
      </c>
    </row>
    <row r="25" spans="1:118">
      <c r="A25" s="249">
        <f t="shared" si="15"/>
        <v>17</v>
      </c>
      <c r="B25" s="132" t="str">
        <f t="shared" si="0"/>
        <v>ti</v>
      </c>
      <c r="C25" s="133" t="s">
        <v>213</v>
      </c>
      <c r="D25" s="134" t="str">
        <f t="shared" si="1"/>
        <v/>
      </c>
      <c r="E25" s="871" t="s">
        <v>141</v>
      </c>
      <c r="F25" s="872"/>
      <c r="G25" s="873"/>
      <c r="H25" s="313"/>
      <c r="I25" s="582"/>
      <c r="J25" s="440"/>
      <c r="K25" s="405"/>
      <c r="L25" s="405"/>
      <c r="M25" s="405"/>
      <c r="N25" s="334">
        <f t="shared" si="16"/>
        <v>0</v>
      </c>
      <c r="O25" s="334">
        <f t="shared" si="17"/>
        <v>0</v>
      </c>
      <c r="P25" s="334">
        <f>IF(Stamoplysninger!$H$29="JA",Oktober!DG25,CX25)</f>
        <v>0</v>
      </c>
      <c r="Q25" s="334">
        <f t="shared" si="18"/>
        <v>0</v>
      </c>
      <c r="R25" s="335"/>
      <c r="S25" s="341"/>
      <c r="T25" s="342"/>
      <c r="U25" s="342"/>
      <c r="V25" s="336"/>
      <c r="W25" s="472"/>
      <c r="X25" s="337"/>
      <c r="Y25">
        <f t="shared" si="19"/>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8"/>
        <v>0</v>
      </c>
      <c r="BC25" s="1">
        <f t="shared" si="21"/>
        <v>0</v>
      </c>
      <c r="BD25" s="1">
        <f t="shared" si="9"/>
        <v>0</v>
      </c>
      <c r="BE25" s="1">
        <f t="shared" si="10"/>
        <v>0</v>
      </c>
      <c r="BF25" s="1">
        <f t="shared" si="11"/>
        <v>0</v>
      </c>
      <c r="BG25" s="214" t="str">
        <f>IF(AND(C25="Skema 1",B25="ma"),Skemaoplysninger!$E$30,"")</f>
        <v/>
      </c>
      <c r="BH25" s="214" t="str">
        <f>IF(AND(C25="Skema 1",B25="ti"),Skemaoplysninger!$F$30,"")</f>
        <v/>
      </c>
      <c r="BI25" s="214" t="str">
        <f>IF(AND(C25="Skema 1",B25="on"),Skemaoplysninger!$G$30,"")</f>
        <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2"/>
        <v>0</v>
      </c>
      <c r="CC25" s="1">
        <f t="shared" si="13"/>
        <v>0</v>
      </c>
      <c r="CD25" s="214" t="str">
        <f>IF(AND(C25="Skema 1",B25="ma"),Skemaoplysninger!$E$39,"")</f>
        <v/>
      </c>
      <c r="CE25" s="214" t="str">
        <f>IF(AND(C25="Skema 1",B25="ti"),Skemaoplysninger!$F$39,"")</f>
        <v/>
      </c>
      <c r="CF25" s="214" t="str">
        <f>IF(AND(C25="Skema 1",B25="on"),Skemaoplysninger!$G$39,"")</f>
        <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t="str">
        <f t="shared" si="25"/>
        <v>Efterårsferie</v>
      </c>
      <c r="DJ25" t="str">
        <f t="shared" si="26"/>
        <v/>
      </c>
      <c r="DK25" t="str">
        <f t="shared" si="14"/>
        <v/>
      </c>
      <c r="DL25" t="str">
        <f t="shared" si="14"/>
        <v>Efterårsferie</v>
      </c>
      <c r="DM25" t="str">
        <f t="shared" si="14"/>
        <v/>
      </c>
      <c r="DN25" t="str">
        <f t="shared" si="27"/>
        <v>Efterårsferie</v>
      </c>
    </row>
    <row r="26" spans="1:118">
      <c r="A26" s="249">
        <f t="shared" si="15"/>
        <v>18</v>
      </c>
      <c r="B26" s="132" t="str">
        <f t="shared" si="0"/>
        <v>on</v>
      </c>
      <c r="C26" s="133" t="s">
        <v>213</v>
      </c>
      <c r="D26" s="134" t="str">
        <f t="shared" si="1"/>
        <v/>
      </c>
      <c r="E26" s="871" t="s">
        <v>141</v>
      </c>
      <c r="F26" s="872"/>
      <c r="G26" s="873"/>
      <c r="H26" s="313"/>
      <c r="I26" s="582"/>
      <c r="J26" s="440"/>
      <c r="K26" s="405"/>
      <c r="L26" s="405"/>
      <c r="M26" s="405"/>
      <c r="N26" s="334">
        <f t="shared" si="16"/>
        <v>0</v>
      </c>
      <c r="O26" s="334">
        <f t="shared" si="17"/>
        <v>0</v>
      </c>
      <c r="P26" s="334">
        <f>IF(Stamoplysninger!$H$29="JA",Oktober!DG26,CX26)</f>
        <v>0</v>
      </c>
      <c r="Q26" s="334">
        <f t="shared" si="18"/>
        <v>0</v>
      </c>
      <c r="R26" s="335"/>
      <c r="S26" s="341"/>
      <c r="T26" s="342"/>
      <c r="U26" s="342"/>
      <c r="V26" s="336"/>
      <c r="W26" s="472"/>
      <c r="X26" s="337"/>
      <c r="Y26">
        <f t="shared" si="19"/>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1",B26="ma"),Arbejdstidsoversigt!$E$44,"")</f>
        <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8"/>
        <v>0</v>
      </c>
      <c r="BC26" s="1">
        <f t="shared" si="21"/>
        <v>0</v>
      </c>
      <c r="BD26" s="1">
        <f t="shared" si="9"/>
        <v>0</v>
      </c>
      <c r="BE26" s="1">
        <f t="shared" si="10"/>
        <v>0</v>
      </c>
      <c r="BF26" s="1">
        <f t="shared" si="11"/>
        <v>0</v>
      </c>
      <c r="BG26" s="214" t="str">
        <f>IF(AND(C26="Skema 1",B26="ma"),Skemaoplysninger!$E$30,"")</f>
        <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2"/>
        <v>0</v>
      </c>
      <c r="CC26" s="1">
        <f t="shared" si="13"/>
        <v>0</v>
      </c>
      <c r="CD26" s="214" t="str">
        <f>IF(AND(C26="Skema 1",B26="ma"),Skemaoplysninger!$E$39,"")</f>
        <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t="str">
        <f t="shared" si="25"/>
        <v>Efterårsferie</v>
      </c>
      <c r="DJ26" t="str">
        <f t="shared" si="26"/>
        <v/>
      </c>
      <c r="DK26" t="str">
        <f t="shared" si="14"/>
        <v/>
      </c>
      <c r="DL26" t="str">
        <f t="shared" si="14"/>
        <v>Efterårsferie</v>
      </c>
      <c r="DM26" t="str">
        <f t="shared" si="14"/>
        <v/>
      </c>
      <c r="DN26" t="str">
        <f t="shared" si="27"/>
        <v>Efterårsferie</v>
      </c>
    </row>
    <row r="27" spans="1:118">
      <c r="A27" s="249">
        <f t="shared" si="15"/>
        <v>19</v>
      </c>
      <c r="B27" s="132" t="str">
        <f t="shared" si="0"/>
        <v>to</v>
      </c>
      <c r="C27" s="133" t="s">
        <v>213</v>
      </c>
      <c r="D27" s="134" t="str">
        <f t="shared" si="1"/>
        <v/>
      </c>
      <c r="E27" s="871" t="s">
        <v>141</v>
      </c>
      <c r="F27" s="872"/>
      <c r="G27" s="873"/>
      <c r="H27" s="313"/>
      <c r="I27" s="582"/>
      <c r="J27" s="440"/>
      <c r="K27" s="405"/>
      <c r="L27" s="405"/>
      <c r="M27" s="405"/>
      <c r="N27" s="334">
        <f t="shared" si="16"/>
        <v>0</v>
      </c>
      <c r="O27" s="334">
        <f t="shared" si="17"/>
        <v>0</v>
      </c>
      <c r="P27" s="334">
        <f>IF(Stamoplysninger!$H$29="JA",Oktober!DG27,CX27)</f>
        <v>0</v>
      </c>
      <c r="Q27" s="334">
        <f t="shared" si="18"/>
        <v>0</v>
      </c>
      <c r="R27" s="335"/>
      <c r="S27" s="341"/>
      <c r="T27" s="342"/>
      <c r="U27" s="342"/>
      <c r="V27" s="336"/>
      <c r="W27" s="472"/>
      <c r="X27" s="337"/>
      <c r="Y27">
        <f t="shared" si="19"/>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1",B27="ma"),Arbejdstidsoversigt!$E$44,"")</f>
        <v/>
      </c>
      <c r="AH27" t="str">
        <f>IF(AND(C27="Skema 1",B27="ti"),Arbejdstidsoversigt!$E$45,"")</f>
        <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8"/>
        <v>0</v>
      </c>
      <c r="BC27" s="1">
        <f t="shared" si="21"/>
        <v>0</v>
      </c>
      <c r="BD27" s="1">
        <f t="shared" si="9"/>
        <v>0</v>
      </c>
      <c r="BE27" s="1">
        <f t="shared" si="10"/>
        <v>0</v>
      </c>
      <c r="BF27" s="1">
        <f t="shared" si="11"/>
        <v>0</v>
      </c>
      <c r="BG27" s="214" t="str">
        <f>IF(AND(C27="Skema 1",B27="ma"),Skemaoplysninger!$E$30,"")</f>
        <v/>
      </c>
      <c r="BH27" s="214" t="str">
        <f>IF(AND(C27="Skema 1",B27="ti"),Skemaoplysninger!$F$30,"")</f>
        <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2"/>
        <v>0</v>
      </c>
      <c r="CC27" s="1">
        <f t="shared" si="13"/>
        <v>0</v>
      </c>
      <c r="CD27" s="214" t="str">
        <f>IF(AND(C27="Skema 1",B27="ma"),Skemaoplysninger!$E$39,"")</f>
        <v/>
      </c>
      <c r="CE27" s="214" t="str">
        <f>IF(AND(C27="Skema 1",B27="ti"),Skemaoplysninger!$F$39,"")</f>
        <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t="str">
        <f t="shared" si="25"/>
        <v>Efterårsferie</v>
      </c>
      <c r="DJ27" t="str">
        <f t="shared" si="26"/>
        <v/>
      </c>
      <c r="DK27" t="str">
        <f t="shared" si="14"/>
        <v/>
      </c>
      <c r="DL27" t="str">
        <f t="shared" si="14"/>
        <v>Efterårsferie</v>
      </c>
      <c r="DM27" t="str">
        <f t="shared" si="14"/>
        <v/>
      </c>
      <c r="DN27" t="str">
        <f t="shared" si="27"/>
        <v>Efterårsferie</v>
      </c>
    </row>
    <row r="28" spans="1:118">
      <c r="A28" s="249">
        <f t="shared" si="15"/>
        <v>20</v>
      </c>
      <c r="B28" s="132" t="str">
        <f t="shared" si="0"/>
        <v>fr</v>
      </c>
      <c r="C28" s="133" t="s">
        <v>213</v>
      </c>
      <c r="D28" s="134" t="str">
        <f t="shared" si="1"/>
        <v/>
      </c>
      <c r="E28" s="871" t="s">
        <v>141</v>
      </c>
      <c r="F28" s="872"/>
      <c r="G28" s="873"/>
      <c r="H28" s="313"/>
      <c r="I28" s="582"/>
      <c r="J28" s="440"/>
      <c r="K28" s="405"/>
      <c r="L28" s="405"/>
      <c r="M28" s="405"/>
      <c r="N28" s="334">
        <f t="shared" si="16"/>
        <v>0</v>
      </c>
      <c r="O28" s="334">
        <f t="shared" si="17"/>
        <v>0</v>
      </c>
      <c r="P28" s="334">
        <f>IF(Stamoplysninger!$H$29="JA",Oktober!DG28,CX28)</f>
        <v>0</v>
      </c>
      <c r="Q28" s="334">
        <f t="shared" si="18"/>
        <v>0</v>
      </c>
      <c r="R28" s="335"/>
      <c r="S28" s="341"/>
      <c r="T28" s="342"/>
      <c r="U28" s="342"/>
      <c r="V28" s="336"/>
      <c r="W28" s="472"/>
      <c r="X28" s="337"/>
      <c r="Y28">
        <f t="shared" si="19"/>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1",B28="ma"),Arbejdstidsoversigt!$E$44,"")</f>
        <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8"/>
        <v>0</v>
      </c>
      <c r="BC28" s="1">
        <f t="shared" si="21"/>
        <v>0</v>
      </c>
      <c r="BD28" s="1">
        <f t="shared" si="9"/>
        <v>0</v>
      </c>
      <c r="BE28" s="1">
        <f t="shared" si="10"/>
        <v>0</v>
      </c>
      <c r="BF28" s="1">
        <f t="shared" si="11"/>
        <v>0</v>
      </c>
      <c r="BG28" s="214" t="str">
        <f>IF(AND(C28="Skema 1",B28="ma"),Skemaoplysninger!$E$30,"")</f>
        <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2"/>
        <v>0</v>
      </c>
      <c r="CC28" s="1">
        <f t="shared" si="13"/>
        <v>0</v>
      </c>
      <c r="CD28" s="214" t="str">
        <f>IF(AND(C28="Skema 1",B28="ma"),Skemaoplysninger!$E$39,"")</f>
        <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t="str">
        <f t="shared" si="25"/>
        <v>Efterårsferie</v>
      </c>
      <c r="DJ28" t="str">
        <f t="shared" si="26"/>
        <v/>
      </c>
      <c r="DK28" t="str">
        <f t="shared" si="14"/>
        <v/>
      </c>
      <c r="DL28" t="str">
        <f t="shared" si="14"/>
        <v>Efterårsferie</v>
      </c>
      <c r="DM28" t="str">
        <f t="shared" si="14"/>
        <v/>
      </c>
      <c r="DN28" t="str">
        <f t="shared" si="27"/>
        <v>Efterårsferie</v>
      </c>
    </row>
    <row r="29" spans="1:118">
      <c r="A29" s="249">
        <f t="shared" si="15"/>
        <v>21</v>
      </c>
      <c r="B29" s="132" t="str">
        <f t="shared" si="0"/>
        <v>lø</v>
      </c>
      <c r="C29" s="133" t="s">
        <v>121</v>
      </c>
      <c r="D29" s="134" t="str">
        <f t="shared" si="1"/>
        <v/>
      </c>
      <c r="E29" s="871"/>
      <c r="F29" s="872"/>
      <c r="G29" s="873"/>
      <c r="H29" s="313"/>
      <c r="I29" s="440"/>
      <c r="J29" s="440"/>
      <c r="K29" s="405"/>
      <c r="L29" s="405"/>
      <c r="M29" s="405"/>
      <c r="N29" s="334">
        <f t="shared" si="16"/>
        <v>0</v>
      </c>
      <c r="O29" s="334">
        <f t="shared" si="17"/>
        <v>0</v>
      </c>
      <c r="P29" s="334">
        <f>IF(Stamoplysninger!$H$29="JA",Oktober!DG29,CX29)</f>
        <v>0</v>
      </c>
      <c r="Q29" s="334">
        <f t="shared" si="18"/>
        <v>0</v>
      </c>
      <c r="R29" s="335"/>
      <c r="S29" s="341"/>
      <c r="T29" s="342"/>
      <c r="U29" s="342"/>
      <c r="V29" s="336"/>
      <c r="W29" s="472"/>
      <c r="X29" s="337"/>
      <c r="Y29">
        <f t="shared" si="19"/>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1",B29="ma"),Arbejdstidsoversigt!$E$44,"")</f>
        <v/>
      </c>
      <c r="AH29" t="str">
        <f>IF(AND(C29="Skema 1",B29="ti"),Arbejdstidsoversigt!$E$45,"")</f>
        <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8"/>
        <v>0</v>
      </c>
      <c r="BC29" s="1">
        <f t="shared" si="21"/>
        <v>0</v>
      </c>
      <c r="BD29" s="1">
        <f t="shared" si="9"/>
        <v>0</v>
      </c>
      <c r="BE29" s="1">
        <f t="shared" si="10"/>
        <v>0</v>
      </c>
      <c r="BF29" s="1">
        <f t="shared" si="11"/>
        <v>0</v>
      </c>
      <c r="BG29" s="214" t="str">
        <f>IF(AND(C29="Skema 1",B29="ma"),Skemaoplysninger!$E$30,"")</f>
        <v/>
      </c>
      <c r="BH29" s="214" t="str">
        <f>IF(AND(C29="Skema 1",B29="ti"),Skemaoplysninger!$F$30,"")</f>
        <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2"/>
        <v>0</v>
      </c>
      <c r="CC29" s="1">
        <f t="shared" si="13"/>
        <v>0</v>
      </c>
      <c r="CD29" s="214" t="str">
        <f>IF(AND(C29="Skema 1",B29="ma"),Skemaoplysninger!$E$39,"")</f>
        <v/>
      </c>
      <c r="CE29" s="214" t="str">
        <f>IF(AND(C29="Skema 1",B29="ti"),Skemaoplysninger!$F$39,"")</f>
        <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4"/>
        <v/>
      </c>
      <c r="DL29" t="str">
        <f t="shared" si="14"/>
        <v/>
      </c>
      <c r="DM29" t="str">
        <f t="shared" si="14"/>
        <v/>
      </c>
      <c r="DN29" t="str">
        <f t="shared" si="27"/>
        <v/>
      </c>
    </row>
    <row r="30" spans="1:118">
      <c r="A30" s="249">
        <f t="shared" si="15"/>
        <v>22</v>
      </c>
      <c r="B30" s="132" t="str">
        <f t="shared" si="0"/>
        <v>sø</v>
      </c>
      <c r="C30" s="133" t="s">
        <v>121</v>
      </c>
      <c r="D30" s="134" t="str">
        <f t="shared" si="1"/>
        <v/>
      </c>
      <c r="E30" s="871"/>
      <c r="F30" s="872"/>
      <c r="G30" s="873"/>
      <c r="H30" s="313"/>
      <c r="I30" s="440"/>
      <c r="J30" s="440"/>
      <c r="K30" s="405"/>
      <c r="L30" s="405"/>
      <c r="M30" s="405"/>
      <c r="N30" s="334">
        <f t="shared" si="16"/>
        <v>0</v>
      </c>
      <c r="O30" s="334">
        <f t="shared" si="17"/>
        <v>0</v>
      </c>
      <c r="P30" s="334">
        <f>IF(Stamoplysninger!$H$29="JA",Oktober!DG30,CX30)</f>
        <v>0</v>
      </c>
      <c r="Q30" s="334">
        <f t="shared" si="18"/>
        <v>0</v>
      </c>
      <c r="R30" s="335"/>
      <c r="S30" s="341"/>
      <c r="T30" s="342"/>
      <c r="U30" s="342"/>
      <c r="V30" s="336"/>
      <c r="W30" s="472"/>
      <c r="X30" s="337"/>
      <c r="Y30">
        <f t="shared" si="19"/>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1",B30="ma"),Arbejdstidsoversigt!$E$44,"")</f>
        <v/>
      </c>
      <c r="AH30" t="str">
        <f>IF(AND(C30="Skema 1",B30="ti"),Arbejdstidsoversigt!$E$45,"")</f>
        <v/>
      </c>
      <c r="AI30" t="str">
        <f>IF(AND(C30="Skema 1",B30="on"),Arbejdstidsoversigt!$E$46,"")</f>
        <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8"/>
        <v>0</v>
      </c>
      <c r="BC30" s="1">
        <f t="shared" si="21"/>
        <v>0</v>
      </c>
      <c r="BD30" s="1">
        <f t="shared" si="9"/>
        <v>0</v>
      </c>
      <c r="BE30" s="1">
        <f t="shared" si="10"/>
        <v>0</v>
      </c>
      <c r="BF30" s="1">
        <f t="shared" si="11"/>
        <v>0</v>
      </c>
      <c r="BG30" s="214" t="str">
        <f>IF(AND(C30="Skema 1",B30="ma"),Skemaoplysninger!$E$30,"")</f>
        <v/>
      </c>
      <c r="BH30" s="214" t="str">
        <f>IF(AND(C30="Skema 1",B30="ti"),Skemaoplysninger!$F$30,"")</f>
        <v/>
      </c>
      <c r="BI30" s="214" t="str">
        <f>IF(AND(C30="Skema 1",B30="on"),Skemaoplysninger!$G$30,"")</f>
        <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2"/>
        <v>0</v>
      </c>
      <c r="CC30" s="1">
        <f t="shared" si="13"/>
        <v>0</v>
      </c>
      <c r="CD30" s="214" t="str">
        <f>IF(AND(C30="Skema 1",B30="ma"),Skemaoplysninger!$E$39,"")</f>
        <v/>
      </c>
      <c r="CE30" s="214" t="str">
        <f>IF(AND(C30="Skema 1",B30="ti"),Skemaoplysninger!$F$39,"")</f>
        <v/>
      </c>
      <c r="CF30" s="214" t="str">
        <f>IF(AND(C30="Skema 1",B30="on"),Skemaoplysninger!$G$39,"")</f>
        <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4"/>
        <v/>
      </c>
      <c r="DL30" t="str">
        <f t="shared" si="14"/>
        <v/>
      </c>
      <c r="DM30" t="str">
        <f t="shared" si="14"/>
        <v/>
      </c>
      <c r="DN30" t="str">
        <f t="shared" si="27"/>
        <v/>
      </c>
    </row>
    <row r="31" spans="1:118">
      <c r="A31" s="249">
        <f t="shared" si="15"/>
        <v>23</v>
      </c>
      <c r="B31" s="132" t="str">
        <f t="shared" si="0"/>
        <v>ma</v>
      </c>
      <c r="C31" s="133" t="s">
        <v>209</v>
      </c>
      <c r="D31" s="134">
        <f t="shared" si="1"/>
        <v>43.142857142857146</v>
      </c>
      <c r="E31" s="871"/>
      <c r="F31" s="872"/>
      <c r="G31" s="873"/>
      <c r="H31" s="313"/>
      <c r="I31" s="582"/>
      <c r="J31" s="440"/>
      <c r="K31" s="405"/>
      <c r="L31" s="405"/>
      <c r="M31" s="405"/>
      <c r="N31" s="334">
        <f t="shared" si="16"/>
        <v>0</v>
      </c>
      <c r="O31" s="334">
        <f t="shared" si="17"/>
        <v>0</v>
      </c>
      <c r="P31" s="334">
        <f>IF(Stamoplysninger!$H$29="JA",Oktober!DG31,CX31)</f>
        <v>0</v>
      </c>
      <c r="Q31" s="334">
        <f t="shared" si="18"/>
        <v>0</v>
      </c>
      <c r="R31" s="335"/>
      <c r="S31" s="341"/>
      <c r="T31" s="342"/>
      <c r="U31" s="342"/>
      <c r="V31" s="336"/>
      <c r="W31" s="472"/>
      <c r="X31" s="337"/>
      <c r="Y31">
        <f t="shared" si="19"/>
        <v>0</v>
      </c>
      <c r="Z31">
        <f t="shared" si="2"/>
        <v>0</v>
      </c>
      <c r="AA31" s="1">
        <f t="shared" si="3"/>
        <v>0</v>
      </c>
      <c r="AB31" s="1">
        <f t="shared" si="4"/>
        <v>0</v>
      </c>
      <c r="AC31" s="1">
        <f t="shared" si="5"/>
        <v>0</v>
      </c>
      <c r="AD31" s="1">
        <f t="shared" si="6"/>
        <v>0</v>
      </c>
      <c r="AE31" s="1">
        <f t="shared" si="7"/>
        <v>0</v>
      </c>
      <c r="AF31" s="1">
        <f>IF(C31="Orlov",7.4*Stamoplysninger!$E$15,0)</f>
        <v>0</v>
      </c>
      <c r="AG31">
        <f>IF(AND(C31="Skema 1",B31="ma"),Arbejdstidsoversigt!$E$44,"")</f>
        <v>0</v>
      </c>
      <c r="AH31" t="str">
        <f>IF(AND(C31="Skema 1",B31="ti"),Arbejdstidsoversigt!$E$45,"")</f>
        <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8"/>
        <v>0</v>
      </c>
      <c r="BC31" s="1">
        <f t="shared" si="21"/>
        <v>0</v>
      </c>
      <c r="BD31" s="1">
        <f t="shared" si="9"/>
        <v>0</v>
      </c>
      <c r="BE31" s="1">
        <f t="shared" si="10"/>
        <v>0</v>
      </c>
      <c r="BF31" s="1">
        <f t="shared" si="11"/>
        <v>0</v>
      </c>
      <c r="BG31" s="214">
        <f>IF(AND(C31="Skema 1",B31="ma"),Skemaoplysninger!$E$30,"")</f>
        <v>0</v>
      </c>
      <c r="BH31" s="214" t="str">
        <f>IF(AND(C31="Skema 1",B31="ti"),Skemaoplysninger!$F$30,"")</f>
        <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2"/>
        <v>0</v>
      </c>
      <c r="CC31" s="1">
        <f t="shared" si="13"/>
        <v>0</v>
      </c>
      <c r="CD31" s="214">
        <f>IF(AND(C31="Skema 1",B31="ma"),Skemaoplysninger!$E$39,"")</f>
        <v>0</v>
      </c>
      <c r="CE31" s="214" t="str">
        <f>IF(AND(C31="Skema 1",B31="ti"),Skemaoplysninger!$F$39,"")</f>
        <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4"/>
        <v/>
      </c>
      <c r="DL31" t="str">
        <f t="shared" si="14"/>
        <v/>
      </c>
      <c r="DM31" t="str">
        <f t="shared" si="14"/>
        <v/>
      </c>
      <c r="DN31" t="str">
        <f t="shared" si="27"/>
        <v/>
      </c>
    </row>
    <row r="32" spans="1:118">
      <c r="A32" s="249">
        <f t="shared" si="15"/>
        <v>24</v>
      </c>
      <c r="B32" s="132" t="str">
        <f t="shared" si="0"/>
        <v>ti</v>
      </c>
      <c r="C32" s="133" t="s">
        <v>209</v>
      </c>
      <c r="D32" s="134" t="str">
        <f t="shared" si="1"/>
        <v/>
      </c>
      <c r="E32" s="868"/>
      <c r="F32" s="869"/>
      <c r="G32" s="870"/>
      <c r="H32" s="313"/>
      <c r="I32" s="582"/>
      <c r="J32" s="440"/>
      <c r="K32" s="405"/>
      <c r="L32" s="405"/>
      <c r="M32" s="405"/>
      <c r="N32" s="334">
        <f t="shared" si="16"/>
        <v>0</v>
      </c>
      <c r="O32" s="334">
        <f t="shared" si="17"/>
        <v>0</v>
      </c>
      <c r="P32" s="334">
        <f>IF(Stamoplysninger!$H$29="JA",Oktober!DG32,CX32)</f>
        <v>0</v>
      </c>
      <c r="Q32" s="334">
        <f t="shared" si="18"/>
        <v>0</v>
      </c>
      <c r="R32" s="335"/>
      <c r="S32" s="341"/>
      <c r="T32" s="342"/>
      <c r="U32" s="342"/>
      <c r="V32" s="336"/>
      <c r="W32" s="472"/>
      <c r="X32" s="337"/>
      <c r="Y32">
        <f t="shared" si="19"/>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1",B32="ma"),Arbejdstidsoversigt!$E$44,"")</f>
        <v/>
      </c>
      <c r="AH32">
        <f>IF(AND(C32="Skema 1",B32="ti"),Arbejdstidsoversigt!$E$45,"")</f>
        <v>0</v>
      </c>
      <c r="AI32" t="str">
        <f>IF(AND(C32="Skema 1",B32="on"),Arbejdstidsoversigt!$E$46,"")</f>
        <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8"/>
        <v>0</v>
      </c>
      <c r="BC32" s="1">
        <f t="shared" si="21"/>
        <v>0</v>
      </c>
      <c r="BD32" s="1">
        <f t="shared" si="9"/>
        <v>0</v>
      </c>
      <c r="BE32" s="1">
        <f t="shared" si="10"/>
        <v>0</v>
      </c>
      <c r="BF32" s="1">
        <f t="shared" si="11"/>
        <v>0</v>
      </c>
      <c r="BG32" s="214" t="str">
        <f>IF(AND(C32="Skema 1",B32="ma"),Skemaoplysninger!$E$30,"")</f>
        <v/>
      </c>
      <c r="BH32" s="214">
        <f>IF(AND(C32="Skema 1",B32="ti"),Skemaoplysninger!$F$30,"")</f>
        <v>0</v>
      </c>
      <c r="BI32" s="214" t="str">
        <f>IF(AND(C32="Skema 1",B32="on"),Skemaoplysninger!$G$30,"")</f>
        <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2"/>
        <v>0</v>
      </c>
      <c r="CC32" s="1">
        <f t="shared" si="13"/>
        <v>0</v>
      </c>
      <c r="CD32" s="214" t="str">
        <f>IF(AND(C32="Skema 1",B32="ma"),Skemaoplysninger!$E$39,"")</f>
        <v/>
      </c>
      <c r="CE32" s="214">
        <f>IF(AND(C32="Skema 1",B32="ti"),Skemaoplysninger!$F$39,"")</f>
        <v>0</v>
      </c>
      <c r="CF32" s="214" t="str">
        <f>IF(AND(C32="Skema 1",B32="on"),Skemaoplysninger!$G$39,"")</f>
        <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f t="shared" si="25"/>
        <v>0</v>
      </c>
      <c r="DJ32">
        <f t="shared" si="26"/>
        <v>0</v>
      </c>
      <c r="DK32" t="str">
        <f t="shared" si="14"/>
        <v/>
      </c>
      <c r="DL32" t="str">
        <f t="shared" si="14"/>
        <v/>
      </c>
      <c r="DM32" t="str">
        <f t="shared" si="14"/>
        <v/>
      </c>
      <c r="DN32" t="str">
        <f t="shared" si="27"/>
        <v/>
      </c>
    </row>
    <row r="33" spans="1:118">
      <c r="A33" s="249">
        <f t="shared" si="15"/>
        <v>25</v>
      </c>
      <c r="B33" s="132" t="str">
        <f t="shared" si="0"/>
        <v>on</v>
      </c>
      <c r="C33" s="133" t="s">
        <v>209</v>
      </c>
      <c r="D33" s="134" t="str">
        <f t="shared" si="1"/>
        <v/>
      </c>
      <c r="E33" s="871"/>
      <c r="F33" s="872"/>
      <c r="G33" s="873"/>
      <c r="H33" s="313"/>
      <c r="I33" s="582"/>
      <c r="J33" s="440"/>
      <c r="K33" s="405"/>
      <c r="L33" s="405"/>
      <c r="M33" s="405"/>
      <c r="N33" s="334">
        <f t="shared" si="16"/>
        <v>0</v>
      </c>
      <c r="O33" s="334">
        <f t="shared" si="17"/>
        <v>0</v>
      </c>
      <c r="P33" s="334">
        <f>IF(Stamoplysninger!$H$29="JA",Oktober!DG33,CX33)</f>
        <v>0</v>
      </c>
      <c r="Q33" s="334">
        <f t="shared" si="18"/>
        <v>0</v>
      </c>
      <c r="R33" s="335"/>
      <c r="S33" s="341"/>
      <c r="T33" s="342"/>
      <c r="U33" s="342"/>
      <c r="V33" s="336"/>
      <c r="W33" s="472"/>
      <c r="X33" s="337"/>
      <c r="Y33">
        <f t="shared" si="19"/>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1",B33="ma"),Arbejdstidsoversigt!$E$44,"")</f>
        <v/>
      </c>
      <c r="AH33" t="str">
        <f>IF(AND(C33="Skema 1",B33="ti"),Arbejdstidsoversigt!$E$45,"")</f>
        <v/>
      </c>
      <c r="AI33">
        <f>IF(AND(C33="Skema 1",B33="on"),Arbejdstidsoversigt!$E$46,"")</f>
        <v>0</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8"/>
        <v>0</v>
      </c>
      <c r="BC33" s="1">
        <f t="shared" si="21"/>
        <v>0</v>
      </c>
      <c r="BD33" s="1">
        <f t="shared" si="9"/>
        <v>0</v>
      </c>
      <c r="BE33" s="1">
        <f t="shared" si="10"/>
        <v>0</v>
      </c>
      <c r="BF33" s="1">
        <f t="shared" si="11"/>
        <v>0</v>
      </c>
      <c r="BG33" s="214" t="str">
        <f>IF(AND(C33="Skema 1",B33="ma"),Skemaoplysninger!$E$30,"")</f>
        <v/>
      </c>
      <c r="BH33" s="214" t="str">
        <f>IF(AND(C33="Skema 1",B33="ti"),Skemaoplysninger!$F$30,"")</f>
        <v/>
      </c>
      <c r="BI33" s="214">
        <f>IF(AND(C33="Skema 1",B33="on"),Skemaoplysninger!$G$30,"")</f>
        <v>0</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2"/>
        <v>0</v>
      </c>
      <c r="CC33" s="1">
        <f t="shared" si="13"/>
        <v>0</v>
      </c>
      <c r="CD33" s="214" t="str">
        <f>IF(AND(C33="Skema 1",B33="ma"),Skemaoplysninger!$E$39,"")</f>
        <v/>
      </c>
      <c r="CE33" s="214" t="str">
        <f>IF(AND(C33="Skema 1",B33="ti"),Skemaoplysninger!$F$39,"")</f>
        <v/>
      </c>
      <c r="CF33" s="214">
        <f>IF(AND(C33="Skema 1",B33="on"),Skemaoplysninger!$G$39,"")</f>
        <v>0</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4"/>
        <v/>
      </c>
      <c r="DL33" t="str">
        <f t="shared" si="14"/>
        <v/>
      </c>
      <c r="DM33" t="str">
        <f t="shared" si="14"/>
        <v/>
      </c>
      <c r="DN33" t="str">
        <f t="shared" si="27"/>
        <v/>
      </c>
    </row>
    <row r="34" spans="1:118">
      <c r="A34" s="249">
        <f t="shared" si="15"/>
        <v>26</v>
      </c>
      <c r="B34" s="132" t="str">
        <f t="shared" si="0"/>
        <v>to</v>
      </c>
      <c r="C34" s="133" t="s">
        <v>209</v>
      </c>
      <c r="D34" s="134" t="str">
        <f t="shared" si="1"/>
        <v/>
      </c>
      <c r="E34" s="871"/>
      <c r="F34" s="872"/>
      <c r="G34" s="873"/>
      <c r="H34" s="313"/>
      <c r="I34" s="582"/>
      <c r="J34" s="440"/>
      <c r="K34" s="405"/>
      <c r="L34" s="405"/>
      <c r="M34" s="405"/>
      <c r="N34" s="334">
        <f t="shared" si="16"/>
        <v>0</v>
      </c>
      <c r="O34" s="334">
        <f t="shared" si="17"/>
        <v>0</v>
      </c>
      <c r="P34" s="334">
        <f>IF(Stamoplysninger!$H$29="JA",Oktober!DG34,CX34)</f>
        <v>0</v>
      </c>
      <c r="Q34" s="334">
        <f t="shared" si="18"/>
        <v>0</v>
      </c>
      <c r="R34" s="335"/>
      <c r="S34" s="341"/>
      <c r="T34" s="342"/>
      <c r="U34" s="342"/>
      <c r="V34" s="336"/>
      <c r="W34" s="472"/>
      <c r="X34" s="337"/>
      <c r="Y34">
        <f t="shared" si="19"/>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1",B34="ma"),Arbejdstidsoversigt!$E$44,"")</f>
        <v/>
      </c>
      <c r="AH34" t="str">
        <f>IF(AND(C34="Skema 1",B34="ti"),Arbejdstidsoversigt!$E$45,"")</f>
        <v/>
      </c>
      <c r="AI34" t="str">
        <f>IF(AND(C34="Skema 1",B34="on"),Arbejdstidsoversigt!$E$46,"")</f>
        <v/>
      </c>
      <c r="AJ34">
        <f>IF(AND(C34="Skema 1",B34="to"),Arbejdstidsoversigt!$E$47,"")</f>
        <v>0</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8"/>
        <v>0</v>
      </c>
      <c r="BC34" s="1">
        <f t="shared" si="21"/>
        <v>0</v>
      </c>
      <c r="BD34" s="1">
        <f t="shared" si="9"/>
        <v>0</v>
      </c>
      <c r="BE34" s="1">
        <f t="shared" si="10"/>
        <v>0</v>
      </c>
      <c r="BF34" s="1">
        <f t="shared" si="11"/>
        <v>0</v>
      </c>
      <c r="BG34" s="214" t="str">
        <f>IF(AND(C34="Skema 1",B34="ma"),Skemaoplysninger!$E$30,"")</f>
        <v/>
      </c>
      <c r="BH34" s="214" t="str">
        <f>IF(AND(C34="Skema 1",B34="ti"),Skemaoplysninger!$F$30,"")</f>
        <v/>
      </c>
      <c r="BI34" s="214" t="str">
        <f>IF(AND(C34="Skema 1",B34="on"),Skemaoplysninger!$G$30,"")</f>
        <v/>
      </c>
      <c r="BJ34" s="214">
        <f>IF(AND(C34="Skema 1",B34="to"),Skemaoplysninger!$H$30,"")</f>
        <v>0</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2"/>
        <v>0</v>
      </c>
      <c r="CC34" s="1">
        <f t="shared" si="13"/>
        <v>0</v>
      </c>
      <c r="CD34" s="214" t="str">
        <f>IF(AND(C34="Skema 1",B34="ma"),Skemaoplysninger!$E$39,"")</f>
        <v/>
      </c>
      <c r="CE34" s="214" t="str">
        <f>IF(AND(C34="Skema 1",B34="ti"),Skemaoplysninger!$F$39,"")</f>
        <v/>
      </c>
      <c r="CF34" s="214" t="str">
        <f>IF(AND(C34="Skema 1",B34="on"),Skemaoplysninger!$G$39,"")</f>
        <v/>
      </c>
      <c r="CG34" s="214">
        <f>IF(AND(C34="Skema 1",B34="to"),Skemaoplysninger!$H$39,"")</f>
        <v>0</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4"/>
        <v/>
      </c>
      <c r="DL34" t="str">
        <f t="shared" si="14"/>
        <v/>
      </c>
      <c r="DM34" t="str">
        <f t="shared" si="14"/>
        <v/>
      </c>
      <c r="DN34" t="str">
        <f t="shared" si="27"/>
        <v/>
      </c>
    </row>
    <row r="35" spans="1:118">
      <c r="A35" s="249">
        <f t="shared" si="15"/>
        <v>27</v>
      </c>
      <c r="B35" s="132" t="str">
        <f t="shared" si="0"/>
        <v>fr</v>
      </c>
      <c r="C35" s="133" t="s">
        <v>209</v>
      </c>
      <c r="D35" s="134" t="str">
        <f t="shared" si="1"/>
        <v/>
      </c>
      <c r="E35" s="871"/>
      <c r="F35" s="872"/>
      <c r="G35" s="873"/>
      <c r="H35" s="313"/>
      <c r="I35" s="582"/>
      <c r="J35" s="440"/>
      <c r="K35" s="405"/>
      <c r="L35" s="405"/>
      <c r="M35" s="405"/>
      <c r="N35" s="334">
        <f t="shared" si="16"/>
        <v>0</v>
      </c>
      <c r="O35" s="334">
        <f t="shared" si="17"/>
        <v>0</v>
      </c>
      <c r="P35" s="334">
        <f>IF(Stamoplysninger!$H$29="JA",Oktober!DG35,CX35)</f>
        <v>0</v>
      </c>
      <c r="Q35" s="334">
        <f t="shared" si="18"/>
        <v>0</v>
      </c>
      <c r="R35" s="335"/>
      <c r="S35" s="341"/>
      <c r="T35" s="342"/>
      <c r="U35" s="342"/>
      <c r="V35" s="336"/>
      <c r="W35" s="472"/>
      <c r="X35" s="337"/>
      <c r="Y35">
        <f t="shared" si="19"/>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1",B35="ma"),Arbejdstidsoversigt!$E$44,"")</f>
        <v/>
      </c>
      <c r="AH35" t="str">
        <f>IF(AND(C35="Skema 1",B35="ti"),Arbejdstidsoversigt!$E$45,"")</f>
        <v/>
      </c>
      <c r="AI35" t="str">
        <f>IF(AND(C35="Skema 1",B35="on"),Arbejdstidsoversigt!$E$46,"")</f>
        <v/>
      </c>
      <c r="AJ35" t="str">
        <f>IF(AND(C35="Skema 1",B35="to"),Arbejdstidsoversigt!$E$47,"")</f>
        <v/>
      </c>
      <c r="AK35">
        <f>IF(AND(C35="Skema 1",B35="fr"),Arbejdstidsoversigt!$E$48,"")</f>
        <v>0</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0</v>
      </c>
      <c r="BB35" s="233">
        <f t="shared" si="8"/>
        <v>0</v>
      </c>
      <c r="BC35" s="1">
        <f t="shared" si="21"/>
        <v>0</v>
      </c>
      <c r="BD35" s="1">
        <f t="shared" si="9"/>
        <v>0</v>
      </c>
      <c r="BE35" s="1">
        <f t="shared" si="10"/>
        <v>0</v>
      </c>
      <c r="BF35" s="1">
        <f t="shared" si="11"/>
        <v>0</v>
      </c>
      <c r="BG35" s="214" t="str">
        <f>IF(AND(C35="Skema 1",B35="ma"),Skemaoplysninger!$E$30,"")</f>
        <v/>
      </c>
      <c r="BH35" s="214" t="str">
        <f>IF(AND(C35="Skema 1",B35="ti"),Skemaoplysninger!$F$30,"")</f>
        <v/>
      </c>
      <c r="BI35" s="214" t="str">
        <f>IF(AND(C35="Skema 1",B35="on"),Skemaoplysninger!$G$30,"")</f>
        <v/>
      </c>
      <c r="BJ35" s="214" t="str">
        <f>IF(AND(C35="Skema 1",B35="to"),Skemaoplysninger!$H$30,"")</f>
        <v/>
      </c>
      <c r="BK35" s="214">
        <f>IF(AND(C35="Skema 1",B35="fr"),Skemaoplysninger!$I$30,"")</f>
        <v>0</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2"/>
        <v>0</v>
      </c>
      <c r="CC35" s="1">
        <f t="shared" si="13"/>
        <v>0</v>
      </c>
      <c r="CD35" s="214" t="str">
        <f>IF(AND(C35="Skema 1",B35="ma"),Skemaoplysninger!$E$39,"")</f>
        <v/>
      </c>
      <c r="CE35" s="214" t="str">
        <f>IF(AND(C35="Skema 1",B35="ti"),Skemaoplysninger!$F$39,"")</f>
        <v/>
      </c>
      <c r="CF35" s="214" t="str">
        <f>IF(AND(C35="Skema 1",B35="on"),Skemaoplysninger!$G$39,"")</f>
        <v/>
      </c>
      <c r="CG35" s="214" t="str">
        <f>IF(AND(C35="Skema 1",B35="to"),Skemaoplysninger!$H$39,"")</f>
        <v/>
      </c>
      <c r="CH35" s="214">
        <f>IF(AND(C35="Skema 1",B35="fr"),Skemaoplysninger!$I$39,"")</f>
        <v>0</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4"/>
        <v/>
      </c>
      <c r="DL35" t="str">
        <f t="shared" si="14"/>
        <v/>
      </c>
      <c r="DM35" t="str">
        <f t="shared" si="14"/>
        <v/>
      </c>
      <c r="DN35" t="str">
        <f t="shared" si="27"/>
        <v/>
      </c>
    </row>
    <row r="36" spans="1:118">
      <c r="A36" s="249">
        <f t="shared" si="15"/>
        <v>28</v>
      </c>
      <c r="B36" s="132" t="str">
        <f t="shared" si="0"/>
        <v>lø</v>
      </c>
      <c r="C36" s="133" t="s">
        <v>121</v>
      </c>
      <c r="D36" s="134" t="str">
        <f t="shared" si="1"/>
        <v/>
      </c>
      <c r="E36" s="871"/>
      <c r="F36" s="872"/>
      <c r="G36" s="873"/>
      <c r="H36" s="313"/>
      <c r="I36" s="440"/>
      <c r="J36" s="440"/>
      <c r="K36" s="405"/>
      <c r="L36" s="405"/>
      <c r="M36" s="405"/>
      <c r="N36" s="334">
        <f t="shared" si="16"/>
        <v>0</v>
      </c>
      <c r="O36" s="334">
        <f t="shared" si="17"/>
        <v>0</v>
      </c>
      <c r="P36" s="334">
        <f>IF(Stamoplysninger!$H$29="JA",Oktober!DG36,CX36)</f>
        <v>0</v>
      </c>
      <c r="Q36" s="334">
        <f t="shared" si="18"/>
        <v>0</v>
      </c>
      <c r="R36" s="335"/>
      <c r="S36" s="341"/>
      <c r="T36" s="342"/>
      <c r="U36" s="342"/>
      <c r="V36" s="336"/>
      <c r="W36" s="472"/>
      <c r="X36" s="337"/>
      <c r="Y36">
        <f t="shared" si="19"/>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1",B36="ma"),Arbejdstidsoversigt!$E$44,"")</f>
        <v/>
      </c>
      <c r="AH36" t="str">
        <f>IF(AND(C36="Skema 1",B36="ti"),Arbejdstidsoversigt!$E$45,"")</f>
        <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8"/>
        <v>0</v>
      </c>
      <c r="BC36" s="1">
        <f t="shared" si="21"/>
        <v>0</v>
      </c>
      <c r="BD36" s="1">
        <f t="shared" si="9"/>
        <v>0</v>
      </c>
      <c r="BE36" s="1">
        <f t="shared" si="10"/>
        <v>0</v>
      </c>
      <c r="BF36" s="1">
        <f t="shared" si="11"/>
        <v>0</v>
      </c>
      <c r="BG36" s="214" t="str">
        <f>IF(AND(C36="Skema 1",B36="ma"),Skemaoplysninger!$E$30,"")</f>
        <v/>
      </c>
      <c r="BH36" s="214" t="str">
        <f>IF(AND(C36="Skema 1",B36="ti"),Skemaoplysninger!$F$30,"")</f>
        <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2"/>
        <v>0</v>
      </c>
      <c r="CC36" s="1">
        <f t="shared" si="13"/>
        <v>0</v>
      </c>
      <c r="CD36" s="214" t="str">
        <f>IF(AND(C36="Skema 1",B36="ma"),Skemaoplysninger!$E$39,"")</f>
        <v/>
      </c>
      <c r="CE36" s="214" t="str">
        <f>IF(AND(C36="Skema 1",B36="ti"),Skemaoplysninger!$F$39,"")</f>
        <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4"/>
        <v/>
      </c>
      <c r="DL36" t="str">
        <f t="shared" si="14"/>
        <v/>
      </c>
      <c r="DM36" t="str">
        <f t="shared" si="14"/>
        <v/>
      </c>
      <c r="DN36" t="str">
        <f t="shared" si="27"/>
        <v/>
      </c>
    </row>
    <row r="37" spans="1:118">
      <c r="A37" s="249">
        <f>IF(ISNUMBER(A36),A36+1,1)</f>
        <v>29</v>
      </c>
      <c r="B37" s="132" t="str">
        <f t="shared" si="0"/>
        <v>sø</v>
      </c>
      <c r="C37" s="133" t="s">
        <v>121</v>
      </c>
      <c r="D37" s="134" t="str">
        <f t="shared" si="1"/>
        <v/>
      </c>
      <c r="E37" s="871"/>
      <c r="F37" s="872"/>
      <c r="G37" s="873"/>
      <c r="H37" s="313"/>
      <c r="I37" s="440"/>
      <c r="J37" s="440"/>
      <c r="K37" s="405"/>
      <c r="L37" s="405"/>
      <c r="M37" s="405"/>
      <c r="N37" s="334">
        <f t="shared" si="16"/>
        <v>0</v>
      </c>
      <c r="O37" s="334">
        <f t="shared" si="17"/>
        <v>0</v>
      </c>
      <c r="P37" s="334">
        <f>IF(Stamoplysninger!$H$29="JA",Oktober!DG37,CX37)</f>
        <v>0</v>
      </c>
      <c r="Q37" s="334">
        <f t="shared" si="18"/>
        <v>0</v>
      </c>
      <c r="R37" s="335"/>
      <c r="S37" s="341"/>
      <c r="T37" s="342"/>
      <c r="U37" s="342"/>
      <c r="V37" s="336"/>
      <c r="W37" s="472"/>
      <c r="X37" s="337"/>
      <c r="Y37">
        <f t="shared" si="19"/>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1",B37="ma"),Arbejdstidsoversigt!$E$44,"")</f>
        <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0</v>
      </c>
      <c r="BB37" s="233">
        <f t="shared" si="8"/>
        <v>0</v>
      </c>
      <c r="BC37" s="1">
        <f t="shared" si="21"/>
        <v>0</v>
      </c>
      <c r="BD37" s="1">
        <f t="shared" si="9"/>
        <v>0</v>
      </c>
      <c r="BE37" s="1">
        <f t="shared" si="10"/>
        <v>0</v>
      </c>
      <c r="BF37" s="1">
        <f t="shared" si="11"/>
        <v>0</v>
      </c>
      <c r="BG37" s="214" t="str">
        <f>IF(AND(C37="Skema 1",B37="ma"),Skemaoplysninger!$E$30,"")</f>
        <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2"/>
        <v>0</v>
      </c>
      <c r="CC37" s="1">
        <f t="shared" si="13"/>
        <v>0</v>
      </c>
      <c r="CD37" s="214" t="str">
        <f>IF(AND(C37="Skema 1",B37="ma"),Skemaoplysninger!$E$39,"")</f>
        <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4"/>
        <v/>
      </c>
      <c r="DL37" t="str">
        <f t="shared" si="14"/>
        <v/>
      </c>
      <c r="DM37" t="str">
        <f t="shared" si="14"/>
        <v/>
      </c>
      <c r="DN37" t="str">
        <f t="shared" si="27"/>
        <v/>
      </c>
    </row>
    <row r="38" spans="1:118">
      <c r="A38" s="249">
        <f t="shared" si="15"/>
        <v>30</v>
      </c>
      <c r="B38" s="132" t="str">
        <f t="shared" si="0"/>
        <v>ma</v>
      </c>
      <c r="C38" s="133" t="s">
        <v>209</v>
      </c>
      <c r="D38" s="134">
        <f t="shared" si="1"/>
        <v>44.142857142857146</v>
      </c>
      <c r="E38" s="871"/>
      <c r="F38" s="872"/>
      <c r="G38" s="873"/>
      <c r="H38" s="313"/>
      <c r="I38" s="582"/>
      <c r="J38" s="440"/>
      <c r="K38" s="405"/>
      <c r="L38" s="405"/>
      <c r="M38" s="405"/>
      <c r="N38" s="334">
        <f t="shared" si="16"/>
        <v>0</v>
      </c>
      <c r="O38" s="334">
        <f t="shared" si="17"/>
        <v>0</v>
      </c>
      <c r="P38" s="334">
        <f>IF(Stamoplysninger!$H$29="JA",Oktober!DG38,CX38)</f>
        <v>0</v>
      </c>
      <c r="Q38" s="334">
        <f t="shared" si="18"/>
        <v>0</v>
      </c>
      <c r="R38" s="335"/>
      <c r="S38" s="341"/>
      <c r="T38" s="342"/>
      <c r="U38" s="471"/>
      <c r="V38" s="336"/>
      <c r="W38" s="472"/>
      <c r="X38" s="337"/>
      <c r="Y38">
        <f t="shared" si="19"/>
        <v>0</v>
      </c>
      <c r="Z38">
        <f t="shared" si="2"/>
        <v>0</v>
      </c>
      <c r="AA38" s="1">
        <f t="shared" si="3"/>
        <v>0</v>
      </c>
      <c r="AB38" s="1">
        <f t="shared" si="4"/>
        <v>0</v>
      </c>
      <c r="AC38" s="1">
        <f t="shared" si="5"/>
        <v>0</v>
      </c>
      <c r="AD38" s="1">
        <f t="shared" si="6"/>
        <v>0</v>
      </c>
      <c r="AE38" s="1">
        <f t="shared" si="7"/>
        <v>0</v>
      </c>
      <c r="AF38" s="1">
        <f>IF(C38="Orlov",7.4*Stamoplysninger!$E$15,0)</f>
        <v>0</v>
      </c>
      <c r="AG38">
        <f>IF(AND(C38="Skema 1",B38="ma"),Arbejdstidsoversigt!$E$44,"")</f>
        <v>0</v>
      </c>
      <c r="AH38" t="str">
        <f>IF(AND(C38="Skema 1",B38="ti"),Arbejdstidsoversigt!$E$45,"")</f>
        <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0</v>
      </c>
      <c r="BB38" s="233">
        <f t="shared" si="8"/>
        <v>0</v>
      </c>
      <c r="BC38" s="1">
        <f t="shared" si="21"/>
        <v>0</v>
      </c>
      <c r="BD38" s="1">
        <f t="shared" si="9"/>
        <v>0</v>
      </c>
      <c r="BE38" s="1">
        <f t="shared" si="10"/>
        <v>0</v>
      </c>
      <c r="BF38" s="1">
        <f t="shared" si="11"/>
        <v>0</v>
      </c>
      <c r="BG38" s="214">
        <f>IF(AND(C38="Skema 1",B38="ma"),Skemaoplysninger!$E$30,"")</f>
        <v>0</v>
      </c>
      <c r="BH38" s="214" t="str">
        <f>IF(AND(C38="Skema 1",B38="ti"),Skemaoplysninger!$F$30,"")</f>
        <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3",B38="ti"),Arbejdstidsoversigt!#REF!,"")</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2"/>
        <v>0</v>
      </c>
      <c r="CC38" s="1">
        <f t="shared" si="13"/>
        <v>0</v>
      </c>
      <c r="CD38" s="214">
        <f>IF(AND(C38="Skema 1",B38="ma"),Skemaoplysninger!$E$39,"")</f>
        <v>0</v>
      </c>
      <c r="CE38" s="214" t="str">
        <f>IF(AND(C38="Skema 1",B38="ti"),Skemaoplysninger!$F$39,"")</f>
        <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4"/>
        <v/>
      </c>
      <c r="DL38" t="str">
        <f t="shared" si="14"/>
        <v/>
      </c>
      <c r="DM38" t="str">
        <f t="shared" si="14"/>
        <v/>
      </c>
      <c r="DN38" t="str">
        <f t="shared" si="27"/>
        <v/>
      </c>
    </row>
    <row r="39" spans="1:118">
      <c r="A39" s="249">
        <f>IF(ISNUMBER(A38),A38+1,1)</f>
        <v>31</v>
      </c>
      <c r="B39" s="132" t="str">
        <f t="shared" si="0"/>
        <v>ti</v>
      </c>
      <c r="C39" s="133" t="s">
        <v>209</v>
      </c>
      <c r="D39" s="134" t="str">
        <f t="shared" si="1"/>
        <v/>
      </c>
      <c r="E39" s="868"/>
      <c r="F39" s="869"/>
      <c r="G39" s="870"/>
      <c r="H39" s="312"/>
      <c r="I39" s="582"/>
      <c r="J39" s="440"/>
      <c r="K39" s="405"/>
      <c r="L39" s="405"/>
      <c r="M39" s="405"/>
      <c r="N39" s="334">
        <f t="shared" si="16"/>
        <v>0</v>
      </c>
      <c r="O39" s="334">
        <f t="shared" si="17"/>
        <v>0</v>
      </c>
      <c r="P39" s="334">
        <f>IF(Stamoplysninger!$H$29="JA",Oktober!DG39,CX39)</f>
        <v>0</v>
      </c>
      <c r="Q39" s="334">
        <f t="shared" si="18"/>
        <v>0</v>
      </c>
      <c r="R39" s="335"/>
      <c r="S39" s="341"/>
      <c r="T39" s="342"/>
      <c r="U39" s="218"/>
      <c r="V39" s="336"/>
      <c r="W39" s="472"/>
      <c r="X39" s="473"/>
      <c r="Y39">
        <f t="shared" si="19"/>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1",B39="ma"),Arbejdstidsoversigt!$E$44,"")</f>
        <v/>
      </c>
      <c r="AH39">
        <f>IF(AND(C39="Skema 1",B39="ti"),Arbejdstidsoversigt!$E$45,"")</f>
        <v>0</v>
      </c>
      <c r="AI39" t="str">
        <f>IF(AND(C39="Skema 1",B39="on"),Arbejdstidsoversigt!$E$46,"")</f>
        <v/>
      </c>
      <c r="AJ39" t="str">
        <f>IF(AND(C39="Skema 1",B39="to"),Arbejdstidsoversigt!$E$47,"")</f>
        <v/>
      </c>
      <c r="AK39" t="str">
        <f>IF(AND(C39="Skema 1",B39="fr"),Arbejdstidsoversigt!$E$48,"")</f>
        <v/>
      </c>
      <c r="AL39" t="str">
        <f>IF(AND(C39="Skema 2",B39="ma"),Arbejdstidsoversigt!$E$53,"")</f>
        <v/>
      </c>
      <c r="AM39" t="str">
        <f>IF(AND(C39="Skema 2",B39="ti"),Arbejdstidsoversigt!$E$54,"")</f>
        <v/>
      </c>
      <c r="AN39" t="str">
        <f>IF(AND(C39="Skema 2",B39="on"),Arbejdstidsoversigt!$E$55,"")</f>
        <v/>
      </c>
      <c r="AO39" t="str">
        <f>IF(AND(C39="Skema 2",B39="to"),Arbejdstidsoversigt!$E$56,"")</f>
        <v/>
      </c>
      <c r="AP39" t="str">
        <f>IF(AND(C39="Skema 2",B39="fr"),Arbejdstidsoversigt!$E$57,"")</f>
        <v/>
      </c>
      <c r="AQ39" t="str">
        <f>IF(AND(C39="Skema 3",B39="ma"),Arbejdstidsoversigt!$E$62,"")</f>
        <v/>
      </c>
      <c r="AR39" t="str">
        <f>IF(AND(C39="Skema 3",B39="ti"),Arbejdstidsoversigt!$E$63,"")</f>
        <v/>
      </c>
      <c r="AS39" t="str">
        <f>IF(AND(C39="Skema 3",B39="on"),Arbejdstidsoversigt!$E$64,"")</f>
        <v/>
      </c>
      <c r="AT39" t="str">
        <f>IF(AND(C39="Skema 3",B39="to"),Arbejdstidsoversigt!$E$65,"")</f>
        <v/>
      </c>
      <c r="AU39" t="str">
        <f>IF(AND(C39="Skema 3",B39="fr"),Arbejdstidsoversigt!$E$66,"")</f>
        <v/>
      </c>
      <c r="AV39" t="str">
        <f>IF(AND(C39="Skema 4",B39="ma"),Arbejdstidsoversigt!$E$71,"")</f>
        <v/>
      </c>
      <c r="AW39" t="str">
        <f>IF(AND(C39="Skema 4",B39="ti"),Arbejdstidsoversigt!$E$72,"")</f>
        <v/>
      </c>
      <c r="AX39" t="str">
        <f>IF(AND(C39="Skema 4",B39="on"),Arbejdstidsoversigt!$E$73,"")</f>
        <v/>
      </c>
      <c r="AY39" t="str">
        <f>IF(AND(C39="Skema 4",B39="to"),Arbejdstidsoversigt!$E$74,"")</f>
        <v/>
      </c>
      <c r="AZ39" t="str">
        <f>IF(AND(C39="Skema 4",B39="fr"),Arbejdstidsoversigt!$E$75,"")</f>
        <v/>
      </c>
      <c r="BA39" s="1">
        <f t="shared" si="20"/>
        <v>0</v>
      </c>
      <c r="BB39" s="233">
        <f t="shared" si="8"/>
        <v>0</v>
      </c>
      <c r="BC39" s="1">
        <f t="shared" si="21"/>
        <v>0</v>
      </c>
      <c r="BD39" s="1">
        <f t="shared" si="9"/>
        <v>0</v>
      </c>
      <c r="BE39" s="1">
        <f t="shared" si="10"/>
        <v>0</v>
      </c>
      <c r="BF39" s="1">
        <f t="shared" si="11"/>
        <v>0</v>
      </c>
      <c r="BG39" s="214" t="str">
        <f>IF(AND(C39="Skema 1",B39="ma"),Skemaoplysninger!$E$30,"")</f>
        <v/>
      </c>
      <c r="BH39" s="214">
        <f>IF(AND(C39="Skema 1",B39="ti"),Skemaoplysninger!$F$30,"")</f>
        <v>0</v>
      </c>
      <c r="BI39" s="214" t="str">
        <f>IF(AND(C39="Skema 1",B39="on"),Skemaoplysninger!$G$30,"")</f>
        <v/>
      </c>
      <c r="BJ39" s="214" t="str">
        <f>IF(AND(C39="Skema 1",B39="to"),Skemaoplysninger!$H$30,"")</f>
        <v/>
      </c>
      <c r="BK39" s="214" t="str">
        <f>IF(AND(C39="Skema 1",B39="fr"),Skemaoplysninger!$I$30,"")</f>
        <v/>
      </c>
      <c r="BL39" s="214" t="str">
        <f>IF(AND(C39="Skema 2",B39="ma"),Skemaoplysninger!$O$30,"")</f>
        <v/>
      </c>
      <c r="BM39" s="214" t="str">
        <f>IF(AND(C39="Skema 2",B39="ti"),Skemaoplysninger!$P$30,"")</f>
        <v/>
      </c>
      <c r="BN39" s="214" t="str">
        <f>IF(AND(C39="Skema 2",B39="on"),Skemaoplysninger!$Q$30,"")</f>
        <v/>
      </c>
      <c r="BO39" s="214" t="str">
        <f>IF(AND(C39="Skema 2",B39="to"),Skemaoplysninger!$R$30,"")</f>
        <v/>
      </c>
      <c r="BP39" s="214" t="str">
        <f>IF(AND(C39="Skema 2",B39="fr"),Skemaoplysninger!$S$30,"")</f>
        <v/>
      </c>
      <c r="BQ39" s="214" t="str">
        <f>IF(AND(C39="Skema 3",B39="ma"),Skemaoplysninger!$Y$30,"")</f>
        <v/>
      </c>
      <c r="BR39" s="214" t="str">
        <f>IF(AND(C39="Skema 3",B39="ti"),Arbejdstidsoversigt!#REF!,"")</f>
        <v/>
      </c>
      <c r="BS39" s="214" t="str">
        <f>IF(AND(C39="Skema 3",B39="on"),Skemaoplysninger!$AA$30,"")</f>
        <v/>
      </c>
      <c r="BT39" s="214" t="str">
        <f>IF(AND(C39="Skema 3",B39="to"),Skemaoplysninger!$AB$30,"")</f>
        <v/>
      </c>
      <c r="BU39" s="214" t="str">
        <f>IF(AND(C39="Skema 3",B39="fr"),Skemaoplysninger!$AC$30,"")</f>
        <v/>
      </c>
      <c r="BV39" s="214" t="str">
        <f>IF(AND(C39="Skema 4",B39="ma"),Skemaoplysninger!$AI$30,"")</f>
        <v/>
      </c>
      <c r="BW39" s="214" t="str">
        <f>IF(AND(C39="Skema 4",B39="ti"),Skemaoplysninger!$AJ$30,"")</f>
        <v/>
      </c>
      <c r="BX39" s="214" t="str">
        <f>IF(AND(C39="Skema 4",B39="on"),Skemaoplysninger!$AK$30,"")</f>
        <v/>
      </c>
      <c r="BY39" s="214" t="str">
        <f>IF(AND(C39="Skema 4",B39="to"),Skemaoplysninger!$AL$30,"")</f>
        <v/>
      </c>
      <c r="BZ39" s="214" t="str">
        <f>IF(AND(C39="Skema 4",B39="fr"),Skemaoplysninger!$AM$30,"")</f>
        <v/>
      </c>
      <c r="CA39" s="1">
        <f t="shared" si="22"/>
        <v>0</v>
      </c>
      <c r="CB39" s="1">
        <f t="shared" si="12"/>
        <v>0</v>
      </c>
      <c r="CC39" s="1">
        <f t="shared" si="13"/>
        <v>0</v>
      </c>
      <c r="CD39" s="214" t="str">
        <f>IF(AND(C39="Skema 1",B39="ma"),Skemaoplysninger!$E$39,"")</f>
        <v/>
      </c>
      <c r="CE39" s="214">
        <f>IF(AND(C39="Skema 1",B39="ti"),Skemaoplysninger!$F$39,"")</f>
        <v>0</v>
      </c>
      <c r="CF39" s="214" t="str">
        <f>IF(AND(C39="Skema 1",B39="on"),Skemaoplysninger!$G$39,"")</f>
        <v/>
      </c>
      <c r="CG39" s="214" t="str">
        <f>IF(AND(C39="Skema 1",B39="to"),Skemaoplysninger!$H$39,"")</f>
        <v/>
      </c>
      <c r="CH39" s="214" t="str">
        <f>IF(AND(C39="Skema 1",B39="fr"),Skemaoplysninger!$I$39,"")</f>
        <v/>
      </c>
      <c r="CI39" s="214" t="str">
        <f>IF(AND(C39="Skema 2",B39="ma"),Skemaoplysninger!$O$39,"")</f>
        <v/>
      </c>
      <c r="CJ39" s="214" t="str">
        <f>IF(AND(C39="Skema 2",B39="ti"),Skemaoplysninger!$P$39,"")</f>
        <v/>
      </c>
      <c r="CK39" s="214" t="str">
        <f>IF(AND(C39="Skema 2",B39="on"),Skemaoplysninger!$Q$39,"")</f>
        <v/>
      </c>
      <c r="CL39" s="214" t="str">
        <f>IF(AND(C39="Skema 2",B39="to"),Skemaoplysninger!$R$39,"")</f>
        <v/>
      </c>
      <c r="CM39" s="214" t="str">
        <f>IF(AND(C39="Skema 2",B39="fr"),Skemaoplysninger!$S$39,"")</f>
        <v/>
      </c>
      <c r="CN39" s="214" t="str">
        <f>IF(AND(C39="Skema 3",B39="ma"),Skemaoplysninger!$Y$39,"")</f>
        <v/>
      </c>
      <c r="CO39" s="214" t="str">
        <f>IF(AND(C39="Skema 3",B39="ti"),Skemaoplysninger!$Z$39,"")</f>
        <v/>
      </c>
      <c r="CP39" s="214" t="str">
        <f>IF(AND(C39="Skema 3",B39="on"),Skemaoplysninger!$AA$39,"")</f>
        <v/>
      </c>
      <c r="CQ39" s="214" t="str">
        <f>IF(AND(C39="Skema 3",B39="to"),Skemaoplysninger!$AB$39,"")</f>
        <v/>
      </c>
      <c r="CR39" s="214" t="str">
        <f>IF(AND(C39="Skema 3",B39="fr"),Skemaoplysninger!$AC$39,"")</f>
        <v/>
      </c>
      <c r="CS39" s="214" t="str">
        <f>IF(AND(C39="Skema 4",B39="ma"),Skemaoplysninger!$AI$39,"")</f>
        <v/>
      </c>
      <c r="CT39" s="214" t="str">
        <f>IF(AND(C39="Skema 4",B39="ti"),Skemaoplysninger!$AJ$39,"")</f>
        <v/>
      </c>
      <c r="CU39" s="214" t="str">
        <f>IF(AND(C39="Skema 4",B39="on"),Skemaoplysninger!$AK$39,"")</f>
        <v/>
      </c>
      <c r="CV39" s="214" t="str">
        <f>IF(AND(C39="Skema 4",B39="to"),Skemaoplysninger!$AL$39,"")</f>
        <v/>
      </c>
      <c r="CW39" s="214" t="str">
        <f>IF(AND(C39="Skema 4",B39="fr"),Skemaoplysninger!$AM$39,"")</f>
        <v/>
      </c>
      <c r="CX39" s="254">
        <f>IF(Stamoplysninger!$H$29="NEJ",SUM(CB39:CW39),0)</f>
        <v>0</v>
      </c>
      <c r="CY39" s="254">
        <f>IF(C39="Skema 1",Stamoplysninger!$H$30/200,0)</f>
        <v>0</v>
      </c>
      <c r="CZ39" s="254">
        <f>IF(C39="Skema 2",Stamoplysninger!$H$30/200,0)</f>
        <v>0</v>
      </c>
      <c r="DA39" s="254">
        <f>IF(C39="Skema 3",Stamoplysninger!$H$30/200,0)</f>
        <v>0</v>
      </c>
      <c r="DB39" s="254">
        <f>IF(C39="Skema 4",Stamoplysninger!$H$30/200,0)</f>
        <v>0</v>
      </c>
      <c r="DC39" s="254">
        <f>IF(C39="fagdag",Stamoplysninger!$H$30/200,0)</f>
        <v>0</v>
      </c>
      <c r="DD39" s="254">
        <f>IF(C39="emnedag",Stamoplysninger!$H$30/200,0)</f>
        <v>0</v>
      </c>
      <c r="DE39" s="254">
        <f>IF(C39="lejrskole",Stamoplysninger!$H$30/200,0)</f>
        <v>0</v>
      </c>
      <c r="DF39" s="254">
        <f>IF(C39="ekskursion",Stamoplysninger!$H$30/200,0)</f>
        <v>0</v>
      </c>
      <c r="DG39" s="254">
        <f t="shared" si="23"/>
        <v>0</v>
      </c>
      <c r="DH39" t="str">
        <f t="shared" si="24"/>
        <v/>
      </c>
      <c r="DI39">
        <f t="shared" si="25"/>
        <v>0</v>
      </c>
      <c r="DJ39">
        <f t="shared" si="26"/>
        <v>0</v>
      </c>
      <c r="DK39" t="str">
        <f t="shared" si="14"/>
        <v/>
      </c>
      <c r="DL39" t="str">
        <f t="shared" si="14"/>
        <v/>
      </c>
      <c r="DM39" t="str">
        <f t="shared" si="14"/>
        <v/>
      </c>
      <c r="DN39" t="str">
        <f t="shared" si="27"/>
        <v/>
      </c>
    </row>
    <row r="40" spans="1:118" ht="17" thickBot="1">
      <c r="A40" s="889" t="s">
        <v>263</v>
      </c>
      <c r="B40" s="890"/>
      <c r="C40" s="890"/>
      <c r="D40" s="890"/>
      <c r="E40" s="890"/>
      <c r="F40" s="890"/>
      <c r="G40" s="890"/>
      <c r="H40" s="890"/>
      <c r="I40" s="891"/>
      <c r="J40" s="329"/>
      <c r="K40" s="339"/>
      <c r="L40" s="339"/>
      <c r="M40" s="339"/>
      <c r="N40" s="339">
        <f t="shared" ref="N40:Q40" si="28">SUM(N9:N39)</f>
        <v>0</v>
      </c>
      <c r="O40" s="339">
        <f t="shared" si="28"/>
        <v>0</v>
      </c>
      <c r="P40" s="339">
        <f t="shared" si="28"/>
        <v>0</v>
      </c>
      <c r="Q40" s="339">
        <f t="shared" si="28"/>
        <v>0</v>
      </c>
      <c r="R40" s="355">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59"/>
      <c r="T40" s="460"/>
      <c r="U40" s="460"/>
      <c r="V40" s="460">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60">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61">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5">
        <f>SUM(Y9:Y39)</f>
        <v>0</v>
      </c>
      <c r="Z40" s="425">
        <f>Z9+Z10+Z11+Z12+Z13+Z14+Z15+Z16+Z17+Z18+Z19+Z20+Z21+Z22+Z23+Z24+Z25+Z26+Z27+Z28+Z29+Z30+Z31+Z32+Z33+Z34+Z35+Z36+Z37+Z38+Z39</f>
        <v>0</v>
      </c>
      <c r="AA40" s="239">
        <f t="shared" ref="AA40:AF40" si="29">SUM(AA9:AA39)</f>
        <v>0</v>
      </c>
      <c r="AB40" s="239">
        <f t="shared" si="29"/>
        <v>0</v>
      </c>
      <c r="AC40" s="239">
        <f t="shared" si="29"/>
        <v>0</v>
      </c>
      <c r="AD40" s="239">
        <f t="shared" si="29"/>
        <v>0</v>
      </c>
      <c r="AE40" s="239">
        <f t="shared" si="29"/>
        <v>0</v>
      </c>
      <c r="AF40" s="239">
        <f t="shared" si="29"/>
        <v>0</v>
      </c>
      <c r="BA40" s="1">
        <f>SUM(BA9:BA39)</f>
        <v>0</v>
      </c>
      <c r="BB40" s="116"/>
      <c r="BC40" s="239">
        <f>SUM(BC9:BC39)</f>
        <v>0</v>
      </c>
      <c r="BD40" s="239">
        <f>SUM(BD9:BD39)</f>
        <v>0</v>
      </c>
      <c r="BE40" s="239">
        <f>SUM(BE9:BE39)</f>
        <v>0</v>
      </c>
      <c r="BF40" s="239">
        <f>SUM(BF9:BF39)</f>
        <v>0</v>
      </c>
      <c r="CA40" s="239">
        <f>SUM(CA9:CA39)</f>
        <v>0</v>
      </c>
      <c r="CB40" s="239">
        <f>SUM(CB9:CB39)</f>
        <v>0</v>
      </c>
      <c r="CC40" s="239">
        <f>SUM(CC9:CC39)</f>
        <v>0</v>
      </c>
      <c r="CX40" s="254"/>
      <c r="CY40" s="254">
        <f>SUM(CY9:CY39)</f>
        <v>0</v>
      </c>
      <c r="CZ40" s="254">
        <f>SUM(CZ9:CZ39)</f>
        <v>0</v>
      </c>
      <c r="DA40" s="254">
        <f t="shared" ref="DA40:DG40" si="30">SUM(DA9:DA39)</f>
        <v>0</v>
      </c>
      <c r="DB40" s="254">
        <f t="shared" si="30"/>
        <v>0</v>
      </c>
      <c r="DC40" s="254">
        <f t="shared" si="30"/>
        <v>0</v>
      </c>
      <c r="DD40" s="254">
        <f t="shared" si="30"/>
        <v>0</v>
      </c>
      <c r="DE40" s="254">
        <f t="shared" si="30"/>
        <v>0</v>
      </c>
      <c r="DF40" s="254">
        <f t="shared" si="30"/>
        <v>0</v>
      </c>
      <c r="DG40" s="254">
        <f t="shared" si="30"/>
        <v>0</v>
      </c>
    </row>
    <row r="41" spans="1:118" ht="26" thickBot="1">
      <c r="A41" s="236"/>
      <c r="B41" s="236"/>
      <c r="C41" s="236"/>
      <c r="D41" s="236"/>
      <c r="E41" s="236"/>
      <c r="F41" s="236"/>
      <c r="G41" s="236"/>
      <c r="H41" s="236"/>
      <c r="I41" s="236"/>
      <c r="J41" s="236"/>
      <c r="K41" s="243"/>
      <c r="L41" s="243"/>
      <c r="M41" s="243"/>
      <c r="N41" s="243"/>
      <c r="O41" s="243"/>
      <c r="P41" s="243"/>
      <c r="Q41" s="243"/>
      <c r="R41" s="243"/>
      <c r="S41" s="478"/>
      <c r="T41" s="478"/>
      <c r="U41" s="478"/>
      <c r="V41" s="478"/>
      <c r="W41" s="478"/>
      <c r="X41" s="478"/>
      <c r="Y41" s="239"/>
      <c r="Z41" s="215"/>
      <c r="AA41" s="215"/>
      <c r="AB41" s="239"/>
      <c r="AC41" s="239"/>
      <c r="AD41" s="239"/>
      <c r="BA41" s="239"/>
      <c r="BB41" s="239"/>
      <c r="BC41" s="239"/>
      <c r="BD41" s="239"/>
      <c r="BE41" s="116"/>
      <c r="BZ41" s="239"/>
      <c r="CA41" s="239"/>
      <c r="CB41" s="116"/>
      <c r="CV41" s="253"/>
      <c r="CW41" s="253"/>
      <c r="CY41"/>
      <c r="CZ41"/>
    </row>
    <row r="42" spans="1:118" ht="70" customHeight="1">
      <c r="A42" s="875" t="str">
        <f>"Arbejdstid for "&amp;A7&amp;" måned:"</f>
        <v>Arbejdstid for Oktober måned:</v>
      </c>
      <c r="B42" s="876"/>
      <c r="C42" s="876"/>
      <c r="D42" s="876"/>
      <c r="E42" s="876"/>
      <c r="F42" s="876"/>
      <c r="G42" s="876"/>
      <c r="H42" s="347" t="s">
        <v>258</v>
      </c>
      <c r="I42" s="876" t="s">
        <v>224</v>
      </c>
      <c r="J42" s="877"/>
      <c r="K42" s="878"/>
      <c r="L42" s="267"/>
      <c r="M42" s="843" t="str">
        <f>"Ulempetimer og weekendtimer i "&amp;A5&amp;""</f>
        <v>Ulempetimer og weekendtimer i Oktober måneds kalender for: . Måneden vedr. normperioden:  - .</v>
      </c>
      <c r="N42" s="844"/>
      <c r="O42" s="844"/>
      <c r="P42" s="844"/>
      <c r="Q42" s="844"/>
      <c r="R42" s="844"/>
      <c r="S42" s="844"/>
      <c r="T42" s="844"/>
      <c r="U42" s="844"/>
      <c r="V42" s="844"/>
      <c r="W42" s="844"/>
      <c r="X42" s="845"/>
      <c r="Y42" s="243"/>
      <c r="Z42" s="243"/>
      <c r="AD42" s="94"/>
      <c r="AE42" s="94"/>
      <c r="BM42" s="1"/>
      <c r="CJ42" s="1"/>
      <c r="CU42" s="253"/>
      <c r="CV42" s="253"/>
      <c r="CY42"/>
      <c r="CZ42"/>
    </row>
    <row r="43" spans="1:118">
      <c r="A43" s="879" t="s">
        <v>601</v>
      </c>
      <c r="B43" s="880"/>
      <c r="C43" s="880"/>
      <c r="D43" s="880"/>
      <c r="E43" s="880"/>
      <c r="F43" s="880"/>
      <c r="G43" s="880"/>
      <c r="H43" s="261">
        <f>D78</f>
        <v>22</v>
      </c>
      <c r="I43" s="892">
        <f>IF(Stamoplysninger!$E$12="Ja",1924/Arbejdstidsoversigt!$K$9*Stamoplysninger!$E$15*$H$43,H43*7.4*Stamoplysninger!$E$15)</f>
        <v>0</v>
      </c>
      <c r="J43" s="893"/>
      <c r="K43" s="894"/>
      <c r="L43" s="263"/>
      <c r="M43" s="846" t="s">
        <v>550</v>
      </c>
      <c r="N43" s="847"/>
      <c r="O43" s="847"/>
      <c r="P43" s="847"/>
      <c r="Q43" s="847"/>
      <c r="R43" s="847"/>
      <c r="S43" s="847"/>
      <c r="T43" s="847"/>
      <c r="U43" s="848"/>
      <c r="V43" s="990">
        <f>M73+S72+T72+M76+M80+M74+N73+N80</f>
        <v>0</v>
      </c>
      <c r="W43" s="990"/>
      <c r="X43" s="991"/>
      <c r="Y43" s="243"/>
      <c r="Z43" s="243"/>
      <c r="AD43" s="94"/>
      <c r="AE43" s="94"/>
      <c r="BM43" s="1"/>
      <c r="CJ43" s="1"/>
      <c r="CU43" s="253"/>
      <c r="CV43" s="253"/>
      <c r="CY43"/>
      <c r="CZ43"/>
    </row>
    <row r="44" spans="1:118">
      <c r="A44" s="879" t="str">
        <f>"Ferie "&amp;A7&amp;" måned"</f>
        <v>Ferie Oktober måned</v>
      </c>
      <c r="B44" s="880"/>
      <c r="C44" s="880"/>
      <c r="D44" s="880"/>
      <c r="E44" s="880"/>
      <c r="F44" s="880"/>
      <c r="G44" s="880"/>
      <c r="H44" s="262">
        <f>IF(D73&gt;0,$D$73,"0")</f>
        <v>5</v>
      </c>
      <c r="I44" s="881">
        <f>H44*7.4*Stamoplysninger!$E$15</f>
        <v>0</v>
      </c>
      <c r="J44" s="882"/>
      <c r="K44" s="883"/>
      <c r="L44" s="263"/>
      <c r="M44" s="996" t="s">
        <v>262</v>
      </c>
      <c r="N44" s="997"/>
      <c r="O44" s="997"/>
      <c r="P44" s="997"/>
      <c r="Q44" s="997"/>
      <c r="R44" s="997"/>
      <c r="S44" s="997"/>
      <c r="T44" s="997"/>
      <c r="U44" s="997"/>
      <c r="V44" s="992">
        <f>M72+S71+T71+M75+M79+M71+N71+N79</f>
        <v>0</v>
      </c>
      <c r="W44" s="992"/>
      <c r="X44" s="993"/>
      <c r="Y44" s="243"/>
      <c r="Z44" s="243"/>
      <c r="AD44" s="94"/>
      <c r="AE44" s="94"/>
      <c r="BM44" s="1"/>
      <c r="CJ44" s="1"/>
      <c r="CU44" s="253"/>
      <c r="CV44" s="253"/>
      <c r="CY44"/>
      <c r="CZ44"/>
    </row>
    <row r="45" spans="1:118">
      <c r="A45" s="879" t="str">
        <f>"Søgnehelligdage i "&amp;A7&amp;" måned"</f>
        <v>Søgnehelligdage i Oktober måned</v>
      </c>
      <c r="B45" s="880"/>
      <c r="C45" s="880"/>
      <c r="D45" s="880"/>
      <c r="E45" s="880"/>
      <c r="F45" s="880"/>
      <c r="G45" s="880"/>
      <c r="H45" s="262">
        <f>IF(D72&gt;0,D72,0)</f>
        <v>0</v>
      </c>
      <c r="I45" s="881">
        <f>H45*7.4*Stamoplysninger!$E$15</f>
        <v>0</v>
      </c>
      <c r="J45" s="882"/>
      <c r="K45" s="883"/>
      <c r="L45" s="264"/>
      <c r="M45" s="858" t="s">
        <v>301</v>
      </c>
      <c r="N45" s="859"/>
      <c r="O45" s="859"/>
      <c r="P45" s="859"/>
      <c r="Q45" s="859"/>
      <c r="R45" s="859"/>
      <c r="S45" s="859"/>
      <c r="T45" s="859"/>
      <c r="U45" s="859"/>
      <c r="V45" s="994">
        <f>September!V52</f>
        <v>0</v>
      </c>
      <c r="W45" s="994"/>
      <c r="X45" s="995"/>
      <c r="Y45" s="243"/>
      <c r="Z45" s="243"/>
      <c r="AD45" s="94"/>
      <c r="AE45" s="94"/>
      <c r="BM45" s="1"/>
      <c r="CJ45" s="1"/>
      <c r="CU45" s="253"/>
      <c r="CV45" s="253"/>
      <c r="CY45"/>
      <c r="CZ45"/>
    </row>
    <row r="46" spans="1:118">
      <c r="A46" s="879" t="str">
        <f>"Nettoarbejdstid ialt i "&amp;A7&amp;" måned"</f>
        <v>Nettoarbejdstid ialt i Oktober måned</v>
      </c>
      <c r="B46" s="880"/>
      <c r="C46" s="880"/>
      <c r="D46" s="880"/>
      <c r="E46" s="880"/>
      <c r="F46" s="880"/>
      <c r="G46" s="880"/>
      <c r="H46" s="265">
        <f>H43-H44-H45</f>
        <v>17</v>
      </c>
      <c r="I46" s="881">
        <f>I43-I44-I45</f>
        <v>0</v>
      </c>
      <c r="J46" s="882"/>
      <c r="K46" s="883"/>
      <c r="L46" s="264"/>
      <c r="M46" s="983" t="s">
        <v>308</v>
      </c>
      <c r="N46" s="984"/>
      <c r="O46" s="984"/>
      <c r="P46" s="984"/>
      <c r="Q46" s="984"/>
      <c r="R46" s="984"/>
      <c r="S46" s="984"/>
      <c r="T46" s="984"/>
      <c r="U46" s="984"/>
      <c r="V46" s="976">
        <f>V44+V45</f>
        <v>0</v>
      </c>
      <c r="W46" s="976"/>
      <c r="X46" s="977"/>
      <c r="Y46" s="243"/>
      <c r="Z46" s="243"/>
      <c r="AD46" s="94"/>
      <c r="AE46" s="94"/>
      <c r="BM46" s="1"/>
      <c r="CJ46" s="1"/>
      <c r="CU46" s="253"/>
      <c r="CV46" s="253"/>
      <c r="CY46"/>
      <c r="CZ46"/>
    </row>
    <row r="47" spans="1:118">
      <c r="A47" s="895" t="str">
        <f>"Planlagt arbejdstid efter ovennstående "&amp;A7&amp;" måned kalender"</f>
        <v>Planlagt arbejdstid efter ovennstående Oktober måned kalender</v>
      </c>
      <c r="B47" s="896"/>
      <c r="C47" s="896"/>
      <c r="D47" s="896"/>
      <c r="E47" s="896"/>
      <c r="F47" s="896"/>
      <c r="G47" s="896"/>
      <c r="H47" s="521">
        <f>D64+D65+D66+D67+D68+D69+D70</f>
        <v>17</v>
      </c>
      <c r="I47" s="897">
        <f>N40+R40-J67</f>
        <v>0</v>
      </c>
      <c r="J47" s="834"/>
      <c r="K47" s="898"/>
      <c r="L47" s="414"/>
      <c r="M47" s="980" t="s">
        <v>299</v>
      </c>
      <c r="N47" s="981"/>
      <c r="O47" s="981"/>
      <c r="P47" s="981"/>
      <c r="Q47" s="981"/>
      <c r="R47" s="981"/>
      <c r="S47" s="981"/>
      <c r="T47" s="981"/>
      <c r="U47" s="981"/>
      <c r="V47" s="981"/>
      <c r="W47" s="981"/>
      <c r="X47" s="982"/>
      <c r="Y47" s="243"/>
      <c r="Z47" s="243"/>
      <c r="AD47" s="94"/>
      <c r="AE47" s="94"/>
      <c r="BM47" s="1"/>
      <c r="CJ47" s="1"/>
      <c r="CU47" s="253"/>
      <c r="CV47" s="253"/>
      <c r="CY47"/>
      <c r="CZ47"/>
    </row>
    <row r="48" spans="1:118">
      <c r="A48" s="902" t="s">
        <v>492</v>
      </c>
      <c r="B48" s="903"/>
      <c r="C48" s="903"/>
      <c r="D48" s="903"/>
      <c r="E48" s="903"/>
      <c r="F48" s="903"/>
      <c r="G48" s="903"/>
      <c r="H48" s="904"/>
      <c r="I48" s="899">
        <f>(M71+M73+M81+M83+M77+M78+M82)*-1</f>
        <v>0</v>
      </c>
      <c r="J48" s="900"/>
      <c r="K48" s="901"/>
      <c r="L48" s="415"/>
      <c r="M48" s="985" t="s">
        <v>506</v>
      </c>
      <c r="N48" s="986"/>
      <c r="O48" s="986"/>
      <c r="P48" s="986"/>
      <c r="Q48" s="986"/>
      <c r="R48" s="986"/>
      <c r="S48" s="986"/>
      <c r="T48" s="986"/>
      <c r="U48" s="986"/>
      <c r="V48" s="978" t="s">
        <v>224</v>
      </c>
      <c r="W48" s="978"/>
      <c r="X48" s="979"/>
      <c r="Y48" s="243"/>
      <c r="Z48" s="243"/>
      <c r="AD48" s="94"/>
      <c r="AE48" s="94"/>
      <c r="BM48" s="1"/>
      <c r="CJ48" s="1"/>
      <c r="CU48" s="253"/>
      <c r="CV48" s="253"/>
      <c r="CY48"/>
      <c r="CZ48"/>
    </row>
    <row r="49" spans="1:110">
      <c r="A49" s="837" t="str">
        <f>"Arbejde særligt planlagt for "&amp;A7&amp;" måned efter fanen skemaoplysninger"</f>
        <v>Arbejde særligt planlagt for Oktober måned efter fanen skemaoplysninger</v>
      </c>
      <c r="B49" s="838"/>
      <c r="C49" s="838"/>
      <c r="D49" s="838"/>
      <c r="E49" s="838"/>
      <c r="F49" s="838"/>
      <c r="G49" s="838"/>
      <c r="H49" s="839"/>
      <c r="I49" s="834">
        <f>Skemaoplysninger!M91</f>
        <v>0</v>
      </c>
      <c r="J49" s="835"/>
      <c r="K49" s="836"/>
      <c r="L49" s="245"/>
      <c r="M49" s="987"/>
      <c r="N49" s="988"/>
      <c r="O49" s="988"/>
      <c r="P49" s="988"/>
      <c r="Q49" s="988"/>
      <c r="R49" s="988"/>
      <c r="S49" s="988"/>
      <c r="T49" s="988"/>
      <c r="U49" s="989"/>
      <c r="V49" s="826"/>
      <c r="W49" s="826"/>
      <c r="X49" s="827"/>
      <c r="Y49"/>
      <c r="Z49" s="243"/>
      <c r="AA49" s="243"/>
      <c r="AG49" s="94"/>
      <c r="AH49" s="94"/>
      <c r="BA49" s="243"/>
      <c r="BO49" s="1"/>
      <c r="CL49" s="1"/>
      <c r="CV49" s="253"/>
      <c r="CW49" s="253"/>
      <c r="CY49"/>
      <c r="CZ49"/>
    </row>
    <row r="50" spans="1:110">
      <c r="A50" s="884" t="s">
        <v>491</v>
      </c>
      <c r="B50" s="885"/>
      <c r="C50" s="885"/>
      <c r="D50" s="885"/>
      <c r="E50" s="885"/>
      <c r="F50" s="885"/>
      <c r="G50" s="885"/>
      <c r="H50" s="885"/>
      <c r="I50" s="886">
        <f>V40+X40-N68-N66-P66</f>
        <v>0</v>
      </c>
      <c r="J50" s="887"/>
      <c r="K50" s="888"/>
      <c r="L50" s="245"/>
      <c r="M50" s="974"/>
      <c r="N50" s="975"/>
      <c r="O50" s="975"/>
      <c r="P50" s="975"/>
      <c r="Q50" s="975"/>
      <c r="R50" s="975"/>
      <c r="S50" s="975"/>
      <c r="T50" s="975"/>
      <c r="U50" s="975"/>
      <c r="V50" s="808"/>
      <c r="W50" s="809"/>
      <c r="X50" s="810"/>
      <c r="Y50"/>
      <c r="Z50" s="243"/>
      <c r="AA50" s="243"/>
      <c r="AE50" s="94"/>
      <c r="AF50" s="252"/>
      <c r="AG50" s="94"/>
      <c r="BN50" s="1"/>
      <c r="CK50" s="1"/>
      <c r="CV50" s="253"/>
      <c r="CW50" s="253"/>
      <c r="CY50"/>
      <c r="CZ50"/>
    </row>
    <row r="51" spans="1:110" ht="17" thickBot="1">
      <c r="A51" s="266" t="str">
        <f>"Faktisk arbejdstid ialt i "&amp;A7&amp;" måned"</f>
        <v>Faktisk arbejdstid ialt i Oktober måned</v>
      </c>
      <c r="B51" s="330"/>
      <c r="C51" s="331"/>
      <c r="D51" s="331"/>
      <c r="E51" s="331"/>
      <c r="F51" s="331"/>
      <c r="G51" s="331"/>
      <c r="H51" s="332"/>
      <c r="I51" s="840">
        <f>I47+I50+I49+I48</f>
        <v>0</v>
      </c>
      <c r="J51" s="841"/>
      <c r="K51" s="842"/>
      <c r="L51" s="245"/>
      <c r="M51" s="974"/>
      <c r="N51" s="975"/>
      <c r="O51" s="975"/>
      <c r="P51" s="975"/>
      <c r="Q51" s="975"/>
      <c r="R51" s="975"/>
      <c r="S51" s="975"/>
      <c r="T51" s="975"/>
      <c r="U51" s="975"/>
      <c r="V51" s="808"/>
      <c r="W51" s="809"/>
      <c r="X51" s="810"/>
      <c r="Y51" s="243"/>
      <c r="Z51" s="243"/>
      <c r="AA51" s="218"/>
      <c r="AB51" s="252"/>
      <c r="AC51" s="252"/>
      <c r="AD51" s="252"/>
      <c r="AE51" s="243"/>
      <c r="AF51" s="252"/>
      <c r="AH51" s="243"/>
      <c r="AI51" s="243"/>
      <c r="AM51" s="94"/>
      <c r="AN51" s="94"/>
      <c r="BU51" s="1"/>
      <c r="CR51" s="1"/>
      <c r="CY51"/>
      <c r="CZ51"/>
      <c r="DC51" s="253"/>
      <c r="DD51" s="253"/>
    </row>
    <row r="52" spans="1:110" ht="17" thickBot="1">
      <c r="A52" s="260"/>
      <c r="B52" s="260"/>
      <c r="C52" s="260"/>
      <c r="D52" s="260"/>
      <c r="E52" s="260"/>
      <c r="F52" s="260"/>
      <c r="G52" s="260"/>
      <c r="H52" s="260"/>
      <c r="I52" s="577"/>
      <c r="J52" s="577"/>
      <c r="K52" s="577"/>
      <c r="L52" s="551"/>
      <c r="M52" s="974"/>
      <c r="N52" s="975"/>
      <c r="O52" s="975"/>
      <c r="P52" s="975"/>
      <c r="Q52" s="975"/>
      <c r="R52" s="975"/>
      <c r="S52" s="975"/>
      <c r="T52" s="975"/>
      <c r="U52" s="975"/>
      <c r="V52" s="808"/>
      <c r="W52" s="809"/>
      <c r="X52" s="810"/>
      <c r="Y52" s="243"/>
      <c r="Z52" s="243"/>
      <c r="AA52" s="243"/>
      <c r="AB52" s="243"/>
      <c r="AC52" s="218"/>
      <c r="AD52" s="252"/>
      <c r="AE52" s="252"/>
      <c r="AF52" s="252"/>
      <c r="AG52" s="252"/>
      <c r="AH52" s="243"/>
      <c r="AJ52" s="243"/>
      <c r="AK52" s="243"/>
      <c r="AO52" s="94"/>
      <c r="AP52" s="94"/>
      <c r="BW52" s="1"/>
      <c r="CT52" s="1"/>
      <c r="CY52"/>
      <c r="CZ52"/>
      <c r="DE52" s="253"/>
      <c r="DF52" s="253"/>
    </row>
    <row r="53" spans="1:110" ht="35" thickBot="1">
      <c r="A53" s="875" t="s">
        <v>527</v>
      </c>
      <c r="B53" s="876"/>
      <c r="C53" s="876"/>
      <c r="D53" s="876"/>
      <c r="E53" s="876"/>
      <c r="F53" s="876"/>
      <c r="G53" s="876"/>
      <c r="H53" s="670" t="s">
        <v>614</v>
      </c>
      <c r="I53" s="876" t="s">
        <v>526</v>
      </c>
      <c r="J53" s="876"/>
      <c r="K53" s="878"/>
      <c r="L53" s="551"/>
      <c r="M53" s="1003" t="s">
        <v>300</v>
      </c>
      <c r="N53" s="1004"/>
      <c r="O53" s="1004"/>
      <c r="P53" s="1004"/>
      <c r="Q53" s="1004"/>
      <c r="R53" s="1004"/>
      <c r="S53" s="1004"/>
      <c r="T53" s="1004"/>
      <c r="U53" s="1005"/>
      <c r="V53" s="1006">
        <f>V46-SUM(V49:X52)</f>
        <v>0</v>
      </c>
      <c r="W53" s="1007"/>
      <c r="X53" s="1008"/>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905"/>
      <c r="B54" s="906"/>
      <c r="C54" s="906"/>
      <c r="D54" s="906"/>
      <c r="E54" s="906"/>
      <c r="F54" s="906"/>
      <c r="G54" s="906"/>
      <c r="H54" s="666">
        <f>September!H61</f>
        <v>0</v>
      </c>
      <c r="I54" s="1019">
        <f>September!I61</f>
        <v>0</v>
      </c>
      <c r="J54" s="1020"/>
      <c r="K54" s="1021"/>
      <c r="L54" s="551"/>
      <c r="M54" s="243"/>
      <c r="N54" s="243"/>
      <c r="O54" s="243"/>
      <c r="P54" s="243"/>
      <c r="Q54" s="218"/>
      <c r="R54" s="252"/>
      <c r="S54" s="252"/>
      <c r="T54" s="252"/>
      <c r="U54" s="252"/>
      <c r="V54" s="243"/>
      <c r="X54" s="243"/>
      <c r="Y54" s="243"/>
      <c r="Z54"/>
      <c r="AC54" s="94"/>
      <c r="AD54" s="94"/>
      <c r="BK54" s="1"/>
      <c r="CH54" s="1"/>
      <c r="CS54" s="253"/>
      <c r="CT54" s="253"/>
      <c r="CY54"/>
      <c r="CZ54"/>
    </row>
    <row r="55" spans="1:110" ht="16" customHeight="1">
      <c r="A55" s="1013" t="s">
        <v>530</v>
      </c>
      <c r="B55" s="1014"/>
      <c r="C55" s="1014"/>
      <c r="D55" s="1014"/>
      <c r="E55" s="1014"/>
      <c r="F55" s="1014"/>
      <c r="G55" s="1015"/>
      <c r="H55" s="664"/>
      <c r="I55" s="1016"/>
      <c r="J55" s="1017"/>
      <c r="K55" s="1018"/>
      <c r="L55" s="551"/>
      <c r="M55" s="243"/>
      <c r="N55" s="243"/>
      <c r="O55" s="243"/>
      <c r="P55" s="243"/>
      <c r="Q55" s="218"/>
      <c r="R55" s="252"/>
      <c r="S55" s="252"/>
      <c r="T55" s="252"/>
      <c r="U55" s="252"/>
      <c r="V55" s="243"/>
      <c r="X55" s="243"/>
      <c r="Y55" s="243"/>
      <c r="Z55"/>
      <c r="AC55" s="94"/>
      <c r="AD55" s="94"/>
      <c r="BK55" s="1"/>
      <c r="CH55" s="1"/>
      <c r="CS55" s="253"/>
      <c r="CT55" s="253"/>
      <c r="CY55"/>
      <c r="CZ55"/>
    </row>
    <row r="56" spans="1:110" ht="37" customHeight="1">
      <c r="A56" s="802" t="s">
        <v>616</v>
      </c>
      <c r="B56" s="803"/>
      <c r="C56" s="803"/>
      <c r="D56" s="803"/>
      <c r="E56" s="803"/>
      <c r="F56" s="803"/>
      <c r="G56" s="803"/>
      <c r="H56" s="803"/>
      <c r="I56" s="803"/>
      <c r="J56" s="803"/>
      <c r="K56" s="804"/>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0" ht="35" customHeight="1">
      <c r="A57" s="907" t="s">
        <v>615</v>
      </c>
      <c r="B57" s="908"/>
      <c r="C57" s="958" t="s">
        <v>566</v>
      </c>
      <c r="D57" s="959"/>
      <c r="E57" s="960" t="s">
        <v>567</v>
      </c>
      <c r="F57" s="803"/>
      <c r="G57" s="961"/>
      <c r="H57" s="970" t="s">
        <v>528</v>
      </c>
      <c r="I57" s="970"/>
      <c r="J57" s="970"/>
      <c r="K57" s="971"/>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0">
      <c r="A58" s="962"/>
      <c r="B58" s="963"/>
      <c r="C58" s="966"/>
      <c r="D58" s="965"/>
      <c r="E58" s="967"/>
      <c r="F58" s="968"/>
      <c r="G58" s="969"/>
      <c r="H58" s="665"/>
      <c r="I58" s="956"/>
      <c r="J58" s="956"/>
      <c r="K58" s="957"/>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0">
      <c r="A59" s="964"/>
      <c r="B59" s="965"/>
      <c r="C59" s="966"/>
      <c r="D59" s="965"/>
      <c r="E59" s="967"/>
      <c r="F59" s="968"/>
      <c r="G59" s="969"/>
      <c r="H59" s="665"/>
      <c r="I59" s="956"/>
      <c r="J59" s="956"/>
      <c r="K59" s="957"/>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0">
      <c r="A60" s="964"/>
      <c r="B60" s="965"/>
      <c r="C60" s="966"/>
      <c r="D60" s="965"/>
      <c r="E60" s="967"/>
      <c r="F60" s="968"/>
      <c r="G60" s="969"/>
      <c r="H60" s="665"/>
      <c r="I60" s="956"/>
      <c r="J60" s="956"/>
      <c r="K60" s="957"/>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0">
      <c r="A61" s="964"/>
      <c r="B61" s="965"/>
      <c r="C61" s="966"/>
      <c r="D61" s="965"/>
      <c r="E61" s="967"/>
      <c r="F61" s="968"/>
      <c r="G61" s="969"/>
      <c r="H61" s="665"/>
      <c r="I61" s="956"/>
      <c r="J61" s="956"/>
      <c r="K61" s="957"/>
      <c r="L61" s="551"/>
      <c r="M61" s="578"/>
      <c r="N61" s="578"/>
      <c r="O61" s="578"/>
      <c r="P61" s="578"/>
      <c r="Q61" s="579"/>
      <c r="R61" s="580"/>
      <c r="S61" s="580"/>
      <c r="T61" s="580"/>
      <c r="U61" s="580"/>
      <c r="V61" s="578"/>
      <c r="W61" s="581"/>
      <c r="X61" s="578"/>
      <c r="Y61" s="243"/>
      <c r="Z61" s="243"/>
      <c r="AA61" s="243"/>
      <c r="AB61" s="243"/>
      <c r="AC61" s="218"/>
      <c r="AD61" s="252"/>
      <c r="AE61" s="252"/>
      <c r="AF61" s="252"/>
      <c r="AG61" s="252"/>
      <c r="AH61" s="243"/>
      <c r="AJ61" s="243"/>
      <c r="AK61" s="243"/>
      <c r="AO61" s="94"/>
      <c r="AP61" s="94"/>
      <c r="BW61" s="1"/>
      <c r="CT61" s="1"/>
      <c r="CY61"/>
      <c r="CZ61"/>
      <c r="DE61" s="253"/>
      <c r="DF61" s="253"/>
    </row>
    <row r="62" spans="1:110" ht="18" customHeight="1" thickBot="1">
      <c r="A62" s="953" t="s">
        <v>529</v>
      </c>
      <c r="B62" s="954"/>
      <c r="C62" s="955"/>
      <c r="D62" s="955"/>
      <c r="E62" s="955"/>
      <c r="F62" s="955"/>
      <c r="G62" s="955"/>
      <c r="H62" s="667">
        <f>H55+H54-SUM(H58:H61)</f>
        <v>0</v>
      </c>
      <c r="I62" s="950">
        <f>I54+I55-SUM(I58:K61)</f>
        <v>0</v>
      </c>
      <c r="J62" s="951"/>
      <c r="K62" s="952"/>
      <c r="L62" s="551"/>
      <c r="M62" s="578"/>
      <c r="N62" s="578"/>
      <c r="O62" s="578"/>
      <c r="P62" s="578"/>
      <c r="Q62" s="579"/>
      <c r="R62" s="580"/>
      <c r="S62" s="580"/>
      <c r="T62" s="580"/>
      <c r="U62" s="580"/>
      <c r="V62" s="578"/>
      <c r="W62" s="581"/>
      <c r="X62" s="578"/>
      <c r="Y62" s="243"/>
      <c r="Z62" s="243"/>
      <c r="AA62" s="243"/>
      <c r="AB62" s="243"/>
      <c r="AC62" s="218"/>
      <c r="AD62" s="252"/>
      <c r="AE62" s="252"/>
      <c r="AF62" s="252"/>
      <c r="AG62" s="252"/>
      <c r="AH62" s="243"/>
      <c r="AJ62" s="243"/>
      <c r="AK62" s="243"/>
      <c r="AO62" s="94"/>
      <c r="AP62" s="94"/>
      <c r="BW62" s="1"/>
      <c r="CT62" s="1"/>
      <c r="CY62"/>
      <c r="CZ62"/>
      <c r="DE62" s="253"/>
      <c r="DF62" s="253"/>
    </row>
    <row r="63" spans="1:110" hidden="1">
      <c r="A63" s="545"/>
      <c r="B63" s="545"/>
      <c r="C63" s="545"/>
      <c r="D63" s="545"/>
      <c r="E63" s="545"/>
      <c r="F63" s="545"/>
      <c r="G63" s="545"/>
      <c r="H63" s="546"/>
      <c r="I63" s="573"/>
      <c r="J63" s="573"/>
      <c r="K63" s="668" t="s">
        <v>297</v>
      </c>
      <c r="L63" s="245"/>
      <c r="M63" s="243"/>
      <c r="N63" s="243"/>
      <c r="O63" s="218"/>
      <c r="P63" s="252"/>
      <c r="Q63" s="252"/>
      <c r="R63" s="252"/>
      <c r="S63" s="243"/>
      <c r="T63" s="252"/>
      <c r="V63" s="243"/>
      <c r="W63" s="243"/>
      <c r="Y63"/>
      <c r="Z63"/>
      <c r="AA63" s="94"/>
      <c r="AB63" s="94"/>
      <c r="BI63" s="1"/>
      <c r="CF63" s="1"/>
      <c r="CQ63" s="253"/>
      <c r="CR63" s="253"/>
      <c r="CY63"/>
      <c r="CZ63"/>
    </row>
    <row r="64" spans="1:110" hidden="1">
      <c r="A64" s="558" t="s">
        <v>209</v>
      </c>
      <c r="B64" s="558"/>
      <c r="C64" s="558"/>
      <c r="D64" s="558">
        <f>COUNTIF([0]!Oktober,"Skema 1")</f>
        <v>17</v>
      </c>
      <c r="E64" s="559"/>
      <c r="F64" s="558" t="s">
        <v>189</v>
      </c>
      <c r="G64" s="558">
        <f>COUNTIFS($B$9:$B$39,"ma",[0]!Oktober,"Skema 1")</f>
        <v>4</v>
      </c>
      <c r="H64" s="547"/>
      <c r="I64" s="547"/>
      <c r="J64" s="550"/>
      <c r="K64" s="551"/>
      <c r="L64" s="417"/>
      <c r="M64" s="243"/>
      <c r="N64" s="243"/>
      <c r="O64" s="218"/>
      <c r="P64" s="252"/>
      <c r="Q64" s="252"/>
      <c r="R64" s="252"/>
      <c r="S64" s="243"/>
      <c r="T64" s="252"/>
      <c r="V64" s="243"/>
      <c r="W64" s="243"/>
      <c r="Y64"/>
      <c r="Z64"/>
      <c r="AA64" s="94"/>
      <c r="AB64" s="94"/>
      <c r="BI64" s="1"/>
      <c r="CF64" s="1"/>
      <c r="CQ64" s="253"/>
      <c r="CR64" s="253"/>
      <c r="CY64"/>
      <c r="CZ64"/>
    </row>
    <row r="65" spans="1:111" hidden="1">
      <c r="A65" s="874" t="s">
        <v>210</v>
      </c>
      <c r="B65" s="874"/>
      <c r="C65" s="874"/>
      <c r="D65" s="558">
        <f>COUNTIF([0]!Oktober,"Skema 2")</f>
        <v>0</v>
      </c>
      <c r="E65" s="559"/>
      <c r="F65" s="558" t="s">
        <v>190</v>
      </c>
      <c r="G65" s="558">
        <f>COUNTIFS($B$9:$B$39,"ti",[0]!Oktober,"Skema 1")</f>
        <v>4</v>
      </c>
      <c r="H65" s="547"/>
      <c r="I65" s="547"/>
      <c r="J65" s="550"/>
      <c r="K65" s="551"/>
      <c r="L65" s="417"/>
      <c r="M65" s="243"/>
      <c r="N65" s="243"/>
      <c r="O65" s="218"/>
      <c r="P65" s="252"/>
      <c r="Q65" s="252"/>
      <c r="R65" s="252"/>
      <c r="S65" s="243"/>
      <c r="T65" s="252"/>
      <c r="V65" s="243"/>
      <c r="W65" s="243"/>
      <c r="Y65"/>
      <c r="Z65"/>
      <c r="AA65" s="94"/>
      <c r="AB65" s="94"/>
      <c r="BI65" s="1"/>
      <c r="CF65" s="1"/>
      <c r="CQ65" s="253"/>
      <c r="CR65" s="253"/>
      <c r="CY65"/>
      <c r="CZ65"/>
    </row>
    <row r="66" spans="1:111" hidden="1">
      <c r="A66" s="874" t="s">
        <v>211</v>
      </c>
      <c r="B66" s="874"/>
      <c r="C66" s="874"/>
      <c r="D66" s="558">
        <f>COUNTIF([0]!Oktober,"Skema 3")</f>
        <v>0</v>
      </c>
      <c r="E66" s="559"/>
      <c r="F66" s="558" t="s">
        <v>191</v>
      </c>
      <c r="G66" s="558">
        <f>COUNTIFS($B$9:$B$39,"on",[0]!Oktober,"Skema 1")</f>
        <v>3</v>
      </c>
      <c r="H66" s="547"/>
      <c r="I66" s="547"/>
      <c r="J66" s="550"/>
      <c r="K66" s="551"/>
      <c r="L66" s="44"/>
      <c r="M66" s="243"/>
      <c r="N66" s="550">
        <f>IF($C$9="Ikke relevant",V9,0)+IF($C$10="Ikke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relevant",V37,0)+IF($C$38="Ikke relevant",V38,0)+IF($C$39="Ikke relevant",V39,0)</f>
        <v>0</v>
      </c>
      <c r="O66" s="550">
        <f t="shared" ref="O66:P66" si="31">IF($C$9="Ikke relevant",W9,0)+IF($C$10="Ikke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relevant",W37,0)+IF($C$38="Ikke relevant",W38,0)+IF($C$39="Ikke relevant",W39,0)</f>
        <v>0</v>
      </c>
      <c r="P66" s="550">
        <f t="shared" si="31"/>
        <v>0</v>
      </c>
      <c r="Q66" s="579" t="s">
        <v>622</v>
      </c>
      <c r="R66" s="252"/>
      <c r="S66" s="243"/>
      <c r="T66" s="252"/>
      <c r="V66" s="243"/>
      <c r="W66" s="243"/>
      <c r="Y66"/>
      <c r="Z66"/>
      <c r="AA66" s="94"/>
      <c r="AB66" s="94"/>
      <c r="BI66" s="1"/>
      <c r="CF66" s="1"/>
      <c r="CQ66" s="253"/>
      <c r="CR66" s="253"/>
      <c r="CY66"/>
      <c r="CZ66"/>
    </row>
    <row r="67" spans="1:111" hidden="1">
      <c r="A67" s="874" t="s">
        <v>212</v>
      </c>
      <c r="B67" s="874"/>
      <c r="C67" s="874"/>
      <c r="D67" s="558">
        <f>COUNTIF([0]!Oktober,"Skema 4")</f>
        <v>0</v>
      </c>
      <c r="E67" s="559"/>
      <c r="F67" s="558" t="s">
        <v>193</v>
      </c>
      <c r="G67" s="558">
        <f>COUNTIFS($B$9:$B$39,"to",[0]!Oktober,"Skema 1")</f>
        <v>3</v>
      </c>
      <c r="H67" s="547"/>
      <c r="I67" s="547" t="s">
        <v>496</v>
      </c>
      <c r="J67" s="550">
        <f>IF(C9="Ikke relevant",R9,0)+IF(C10="Ikke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K67" s="552"/>
      <c r="L67" s="44"/>
      <c r="M67" s="470" t="s">
        <v>327</v>
      </c>
      <c r="N67" s="470" t="s">
        <v>423</v>
      </c>
      <c r="O67" s="260"/>
      <c r="P67" s="260"/>
      <c r="Q67" s="260"/>
      <c r="R67" s="260"/>
      <c r="S67" s="260"/>
      <c r="T67" s="260"/>
      <c r="U67" s="260"/>
      <c r="V67" s="260"/>
      <c r="W67" s="260"/>
      <c r="X67" s="260"/>
      <c r="Y67" s="243"/>
      <c r="Z67" s="243"/>
      <c r="AA67" s="243"/>
      <c r="AB67" s="243"/>
      <c r="AC67" s="243"/>
      <c r="AD67" s="218"/>
      <c r="AE67" s="252"/>
      <c r="AF67" s="218"/>
      <c r="AG67" s="252"/>
      <c r="AH67" s="252"/>
      <c r="AI67" s="243"/>
      <c r="AK67" s="243"/>
      <c r="AL67" s="243"/>
      <c r="AP67" s="94"/>
      <c r="AQ67" s="94"/>
      <c r="BX67" s="1"/>
      <c r="CU67" s="1"/>
      <c r="CY67"/>
      <c r="CZ67"/>
      <c r="DF67" s="253"/>
      <c r="DG67" s="253"/>
    </row>
    <row r="68" spans="1:111" hidden="1">
      <c r="A68" s="558" t="s">
        <v>113</v>
      </c>
      <c r="B68" s="558"/>
      <c r="C68" s="558"/>
      <c r="D68" s="558">
        <f>COUNTIF([0]!Oktober,"Fagdag")+COUNTIF([0]!Oktober,"emnedag")</f>
        <v>0</v>
      </c>
      <c r="E68" s="559"/>
      <c r="F68" s="558" t="s">
        <v>192</v>
      </c>
      <c r="G68" s="558">
        <f>COUNTIFS($B$9:$B$39,"fr",[0]!Oktober,"Skema 1")</f>
        <v>3</v>
      </c>
      <c r="H68" s="547"/>
      <c r="I68" s="552" t="s">
        <v>329</v>
      </c>
      <c r="J68" s="550"/>
      <c r="K68" s="552"/>
      <c r="L68" s="44"/>
      <c r="M68" s="463">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68" s="463">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68" s="463"/>
      <c r="P68" s="354"/>
      <c r="Q68" s="465" t="s">
        <v>331</v>
      </c>
      <c r="R68" s="234"/>
      <c r="S68" s="234"/>
      <c r="T68" s="234" t="s">
        <v>332</v>
      </c>
      <c r="U68" s="234"/>
      <c r="V68" s="234"/>
      <c r="W68" s="122"/>
      <c r="X68" s="122"/>
      <c r="Y68" s="243"/>
      <c r="Z68" s="243"/>
      <c r="AA68" s="243"/>
      <c r="AB68" s="243"/>
      <c r="AC68" s="243"/>
      <c r="AD68" s="218"/>
      <c r="AE68" s="252"/>
      <c r="AF68" s="218"/>
      <c r="AG68" s="252"/>
      <c r="AH68" s="252"/>
      <c r="AI68" s="243"/>
      <c r="AK68" s="243"/>
      <c r="AL68" s="243"/>
      <c r="AP68" s="94"/>
      <c r="AQ68" s="94"/>
      <c r="BX68" s="1"/>
      <c r="CU68" s="1"/>
      <c r="CY68"/>
      <c r="CZ68"/>
      <c r="DF68" s="253"/>
      <c r="DG68" s="253"/>
    </row>
    <row r="69" spans="1:111" hidden="1">
      <c r="A69" s="560" t="s">
        <v>112</v>
      </c>
      <c r="B69" s="558"/>
      <c r="C69" s="558"/>
      <c r="D69" s="558">
        <f>COUNTIF([0]!Oktober,"Lejrskole")+COUNTIF([0]!Oktober,"Ekskursion")</f>
        <v>0</v>
      </c>
      <c r="E69" s="559"/>
      <c r="F69" s="558"/>
      <c r="G69" s="558"/>
      <c r="H69" s="547"/>
      <c r="I69" s="552" t="s">
        <v>343</v>
      </c>
      <c r="J69" s="550"/>
      <c r="K69" s="552"/>
      <c r="L69" s="44"/>
      <c r="M69" s="463">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69" s="463">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69" s="464">
        <v>0.5</v>
      </c>
      <c r="P69" s="354"/>
      <c r="Q69" s="465" t="s">
        <v>328</v>
      </c>
      <c r="R69" s="234"/>
      <c r="S69" s="234"/>
      <c r="T69" s="234"/>
      <c r="U69" s="234"/>
      <c r="V69" s="234"/>
      <c r="W69" s="122"/>
      <c r="X69" s="122"/>
      <c r="Y69" s="243"/>
      <c r="Z69" s="243"/>
      <c r="AA69" s="243"/>
      <c r="AB69" s="243"/>
      <c r="AC69" s="243"/>
      <c r="AD69" s="218"/>
      <c r="AE69" s="252"/>
      <c r="AF69" s="218"/>
      <c r="AG69" s="252"/>
      <c r="AH69" s="252"/>
      <c r="AI69" s="243"/>
      <c r="AK69" s="243"/>
      <c r="AL69" s="243"/>
      <c r="AP69" s="94"/>
      <c r="AQ69" s="94"/>
      <c r="BX69" s="1"/>
      <c r="CU69" s="1"/>
      <c r="CY69"/>
      <c r="CZ69"/>
      <c r="DF69" s="253"/>
      <c r="DG69" s="253"/>
    </row>
    <row r="70" spans="1:111" hidden="1">
      <c r="A70" s="558" t="s">
        <v>111</v>
      </c>
      <c r="B70" s="558"/>
      <c r="C70" s="558"/>
      <c r="D70" s="558">
        <f>COUNTIF([0]!Oktober,"Pæd.dag")</f>
        <v>0</v>
      </c>
      <c r="E70" s="559"/>
      <c r="F70" s="558" t="s">
        <v>194</v>
      </c>
      <c r="G70" s="558">
        <f>COUNTIFS($B$9:$B$39,"ma",[0]!Oktober,"Skema 2")</f>
        <v>0</v>
      </c>
      <c r="H70" s="547"/>
      <c r="I70" s="547" t="s">
        <v>342</v>
      </c>
      <c r="J70" s="550"/>
      <c r="K70" s="552"/>
      <c r="L70" s="44"/>
      <c r="M70" s="463">
        <f>SUM(M68:M69)</f>
        <v>0</v>
      </c>
      <c r="N70" s="463">
        <f>SUM(N68:N69)</f>
        <v>0</v>
      </c>
      <c r="O70" s="463">
        <f>(M70+N70)/2</f>
        <v>0</v>
      </c>
      <c r="P70" s="354">
        <f>SUM(M70:O70)</f>
        <v>0</v>
      </c>
      <c r="Q70" s="465">
        <f>(M70+N70)*25%</f>
        <v>0</v>
      </c>
      <c r="R70" s="234"/>
      <c r="S70" s="234"/>
      <c r="T70" s="234"/>
      <c r="U70" s="234"/>
      <c r="V70" s="234"/>
      <c r="W70" s="122"/>
      <c r="X70" s="122"/>
      <c r="Y70" s="243"/>
      <c r="Z70" s="243"/>
      <c r="AA70" s="243"/>
      <c r="AB70" s="243"/>
      <c r="AC70" s="243"/>
      <c r="AD70" s="218"/>
      <c r="AE70" s="252"/>
      <c r="AG70" s="252"/>
      <c r="AH70" s="252"/>
      <c r="AI70" s="243"/>
      <c r="AK70" s="243"/>
      <c r="AL70" s="243"/>
      <c r="AP70" s="94"/>
      <c r="AQ70" s="94"/>
      <c r="BX70" s="1"/>
      <c r="CU70" s="1"/>
      <c r="CY70"/>
      <c r="CZ70"/>
      <c r="DF70" s="253"/>
      <c r="DG70" s="253"/>
    </row>
    <row r="71" spans="1:111" hidden="1">
      <c r="A71" s="558" t="s">
        <v>121</v>
      </c>
      <c r="B71" s="558"/>
      <c r="C71" s="558"/>
      <c r="D71" s="558">
        <f>COUNTIF([0]!Oktober,"Weekend")</f>
        <v>9</v>
      </c>
      <c r="E71" s="559"/>
      <c r="F71" s="558" t="s">
        <v>195</v>
      </c>
      <c r="G71" s="558">
        <f>COUNTIFS($B$9:$B$39,"ti",[0]!Oktober,"Skema 2")</f>
        <v>0</v>
      </c>
      <c r="H71" s="547"/>
      <c r="I71" s="547" t="s">
        <v>482</v>
      </c>
      <c r="J71" s="550"/>
      <c r="K71" s="552"/>
      <c r="L71" s="44"/>
      <c r="M71" s="513">
        <f>IF(Stamoplysninger!$B$26="Weekendtimer og weekendtillæg afspadseres.",M68,0)</f>
        <v>0</v>
      </c>
      <c r="N71" s="513">
        <f>IF(Stamoplysninger!$B$26="Weekendtimer og weekendtillæg afspadseres.",N68,0)</f>
        <v>0</v>
      </c>
      <c r="O71" s="463"/>
      <c r="P71" s="354"/>
      <c r="Q71" s="465" t="s">
        <v>333</v>
      </c>
      <c r="R71" s="234"/>
      <c r="S71" s="234">
        <f>IF(Stamoplysninger!B22="Ulempetillæg afspadseres med 25%(Kræver en aftale imellem ledelsen og den ansatte)",Q70,0)</f>
        <v>0</v>
      </c>
      <c r="T71" s="234">
        <f>IF(Stamoplysninger!B22="Ulempetillæg afspadseres med 25%(Kræver en aftale imellem ledelsen og den ansatte)",(R40+X40)*0.25,0)</f>
        <v>0</v>
      </c>
      <c r="U71" s="234"/>
      <c r="V71" s="234"/>
      <c r="W71" s="122"/>
      <c r="X71" s="122"/>
      <c r="Y71"/>
      <c r="Z71"/>
      <c r="AO71" s="1"/>
      <c r="BL71" s="1"/>
      <c r="BW71" s="253"/>
      <c r="BX71" s="253"/>
      <c r="CY71"/>
      <c r="CZ71"/>
    </row>
    <row r="72" spans="1:111" hidden="1">
      <c r="A72" s="558" t="s">
        <v>128</v>
      </c>
      <c r="B72" s="558"/>
      <c r="C72" s="558"/>
      <c r="D72" s="558">
        <f>COUNTIF([0]!Oktober,"SH-dag")</f>
        <v>0</v>
      </c>
      <c r="E72" s="559"/>
      <c r="F72" s="558" t="s">
        <v>196</v>
      </c>
      <c r="G72" s="558">
        <f>COUNTIFS($B$9:$B$39,"on",[0]!Oktober,"Skema 2")</f>
        <v>0</v>
      </c>
      <c r="H72" s="547"/>
      <c r="I72" s="554" t="s">
        <v>483</v>
      </c>
      <c r="J72" s="554"/>
      <c r="K72" s="554"/>
      <c r="L72" s="510"/>
      <c r="M72" s="513">
        <f>IF(Stamoplysninger!$B$26="Weekendtimer og weekendtillæg afspadseres.",O70,0)</f>
        <v>0</v>
      </c>
      <c r="N72" s="513">
        <f>IF(Stamoplysninger!$B$26="Weekendtimer og weekendtillæg afspadseres.",O70,0)</f>
        <v>0</v>
      </c>
      <c r="O72" s="463"/>
      <c r="P72" s="354"/>
      <c r="Q72" s="465" t="s">
        <v>330</v>
      </c>
      <c r="R72" s="234"/>
      <c r="S72" s="234">
        <f>IF(Stamoplysninger!B22="Ulempetillæg udbetales med 25% af nettotimelønnen.",Q70,0)</f>
        <v>0</v>
      </c>
      <c r="T72" s="234">
        <f>IF(Stamoplysninger!B22="Ulempetillæg udbetales med 25% af nettotimelønnen.",(R40+X40)*0.25,0)</f>
        <v>0</v>
      </c>
      <c r="U72" s="234"/>
      <c r="V72" s="234"/>
      <c r="W72" s="122"/>
      <c r="X72" s="122"/>
      <c r="Y72"/>
      <c r="Z72"/>
      <c r="AO72" s="1"/>
      <c r="BL72" s="1"/>
      <c r="BW72" s="253"/>
      <c r="BX72" s="253"/>
      <c r="CY72"/>
      <c r="CZ72"/>
    </row>
    <row r="73" spans="1:111" hidden="1">
      <c r="A73" s="558" t="s">
        <v>110</v>
      </c>
      <c r="B73" s="558"/>
      <c r="C73" s="558"/>
      <c r="D73" s="558">
        <f>COUNTIF([0]!Oktober,"Feriedag")</f>
        <v>5</v>
      </c>
      <c r="E73" s="559"/>
      <c r="F73" s="558" t="s">
        <v>197</v>
      </c>
      <c r="G73" s="558">
        <f>COUNTIFS($B$9:$B$39,"to",[0]!Oktober,"Skema 2")</f>
        <v>0</v>
      </c>
      <c r="H73" s="547"/>
      <c r="I73" s="554" t="s">
        <v>484</v>
      </c>
      <c r="J73" s="554"/>
      <c r="K73" s="554"/>
      <c r="L73" s="510"/>
      <c r="M73" s="514">
        <f>IF(Stamoplysninger!$B$26="Weekendtimer og weekendtillæg udbetales.",M68,0)</f>
        <v>0</v>
      </c>
      <c r="N73" s="514">
        <f>IF(Stamoplysninger!$B$26="Weekendtimer og weekendtillæg udbetales.",N68,0)</f>
        <v>0</v>
      </c>
      <c r="O73" s="463"/>
      <c r="P73" s="354"/>
      <c r="Q73" s="465"/>
      <c r="R73" s="234"/>
      <c r="S73" s="234"/>
      <c r="T73" s="234"/>
      <c r="U73" s="234"/>
      <c r="V73" s="234"/>
      <c r="W73" s="122"/>
      <c r="X73" s="122"/>
      <c r="Y73"/>
      <c r="Z73"/>
      <c r="AO73" s="1"/>
      <c r="BL73" s="1"/>
      <c r="BW73" s="253"/>
      <c r="BX73" s="253"/>
      <c r="CY73"/>
      <c r="CZ73"/>
    </row>
    <row r="74" spans="1:111" hidden="1">
      <c r="A74" s="558" t="s">
        <v>181</v>
      </c>
      <c r="B74" s="558"/>
      <c r="C74" s="558"/>
      <c r="D74" s="558">
        <f>COUNTIF([0]!Oktober,"Nul-dag")</f>
        <v>0</v>
      </c>
      <c r="E74" s="559"/>
      <c r="F74" s="558" t="s">
        <v>198</v>
      </c>
      <c r="G74" s="558">
        <f>COUNTIFS($B$9:$B$39,"fr",[0]!Oktober,"Skema 2")</f>
        <v>0</v>
      </c>
      <c r="H74" s="547"/>
      <c r="I74" s="554" t="s">
        <v>485</v>
      </c>
      <c r="J74" s="554"/>
      <c r="K74" s="554"/>
      <c r="L74" s="510"/>
      <c r="M74" s="514">
        <f>IF(Stamoplysninger!$B$26="Weekendtimer og weekendtillæg udbetales.",O70,0)</f>
        <v>0</v>
      </c>
      <c r="N74" s="514">
        <f>IF(Stamoplysninger!$B$26="Weekendtimer og weekendtillæg udbetales.",O70,0)</f>
        <v>0</v>
      </c>
      <c r="O74" s="463"/>
      <c r="P74" s="354"/>
      <c r="Q74" s="465"/>
      <c r="R74" s="234"/>
      <c r="S74" s="234"/>
      <c r="T74" s="234"/>
      <c r="U74" s="234"/>
      <c r="V74" s="234"/>
      <c r="W74" s="122"/>
      <c r="X74" s="122"/>
      <c r="Y74"/>
      <c r="Z74"/>
      <c r="AO74" s="1"/>
      <c r="BL74" s="1"/>
      <c r="BW74" s="253"/>
      <c r="BX74" s="253"/>
      <c r="CY74"/>
      <c r="CZ74"/>
    </row>
    <row r="75" spans="1:111" hidden="1">
      <c r="A75" s="555" t="s">
        <v>444</v>
      </c>
      <c r="B75" s="558"/>
      <c r="C75" s="558"/>
      <c r="D75" s="558">
        <f>COUNTIF([0]!Oktober,"Orlov")</f>
        <v>0</v>
      </c>
      <c r="E75" s="559"/>
      <c r="F75" s="561"/>
      <c r="G75" s="561"/>
      <c r="H75" s="556"/>
      <c r="I75" s="554" t="s">
        <v>334</v>
      </c>
      <c r="J75" s="554"/>
      <c r="K75" s="554"/>
      <c r="L75" s="510"/>
      <c r="M75" s="515">
        <f>IF(Stamoplysninger!$B$26="Der er indgået lokalaftale omkring weekendtimer.(Kræver aftale med TR/FSL) Weekendtillæg afspadseres.",O70,0)</f>
        <v>0</v>
      </c>
      <c r="N75" s="515">
        <f>IF(Stamoplysninger!$B$26="Der er indgået lokalaftale omkring weekendtimer.(Kræver aftale med TR/FSL) Weekendtillæg afspadseres.",N68,0)</f>
        <v>0</v>
      </c>
      <c r="O75" s="463"/>
      <c r="P75" s="354"/>
      <c r="Q75" s="465"/>
      <c r="R75" s="234"/>
      <c r="S75" s="234"/>
      <c r="T75" s="234"/>
      <c r="U75" s="234"/>
      <c r="V75" s="234"/>
      <c r="W75" s="122"/>
      <c r="X75" s="122"/>
      <c r="Y75"/>
      <c r="Z75"/>
      <c r="AO75" s="1"/>
      <c r="BL75" s="1"/>
      <c r="BW75" s="253"/>
      <c r="BX75" s="253"/>
      <c r="CY75"/>
      <c r="CZ75"/>
    </row>
    <row r="76" spans="1:111" hidden="1">
      <c r="A76" s="558" t="s">
        <v>161</v>
      </c>
      <c r="B76" s="558"/>
      <c r="C76" s="558"/>
      <c r="D76" s="558">
        <f>COUNTIF([0]!Oktober,"Ikke relevant")</f>
        <v>0</v>
      </c>
      <c r="E76" s="559"/>
      <c r="F76" s="558" t="s">
        <v>199</v>
      </c>
      <c r="G76" s="558">
        <f>COUNTIFS($B$9:$B$39,"ma",[0]!Oktober,"Skema 3")</f>
        <v>0</v>
      </c>
      <c r="H76" s="547">
        <v>1</v>
      </c>
      <c r="I76" s="554" t="s">
        <v>335</v>
      </c>
      <c r="J76" s="554"/>
      <c r="K76" s="554"/>
      <c r="L76" s="510"/>
      <c r="M76" s="515">
        <f>IF(Stamoplysninger!$B$26="Der er indgået lokalaftale omkring weekendtimer(Kræver aftale med TR/FSL). Weekendtillæg udbetales.",O70,0)</f>
        <v>0</v>
      </c>
      <c r="N76" s="515">
        <f>IF(Stamoplysninger!$B$26="Der er indgået lokalaftale omkring weekendtimer(Kræver aftale med TR/FSL). Weekendtillæg udbetales.",N68,0)</f>
        <v>0</v>
      </c>
      <c r="O76" s="463"/>
      <c r="P76" s="354"/>
      <c r="Q76" s="465"/>
      <c r="R76" s="234"/>
      <c r="S76" s="234"/>
      <c r="T76" s="234"/>
      <c r="U76" s="234"/>
      <c r="V76" s="234"/>
      <c r="W76" s="122"/>
      <c r="X76" s="122"/>
      <c r="Y76"/>
      <c r="Z76"/>
      <c r="AO76" s="1"/>
      <c r="BL76" s="1"/>
      <c r="BW76" s="253"/>
      <c r="BX76" s="253"/>
      <c r="CY76"/>
      <c r="CZ76"/>
    </row>
    <row r="77" spans="1:111" hidden="1">
      <c r="A77" s="558" t="s">
        <v>109</v>
      </c>
      <c r="B77" s="558"/>
      <c r="C77" s="558"/>
      <c r="D77" s="558">
        <f>SUM(D64:D76)</f>
        <v>31</v>
      </c>
      <c r="E77" s="558"/>
      <c r="F77" s="558" t="s">
        <v>200</v>
      </c>
      <c r="G77" s="558">
        <f>COUNTIFS($B$9:$B$39,"ti",[0]!Oktober,"Skema 3")</f>
        <v>0</v>
      </c>
      <c r="H77" s="547">
        <v>2</v>
      </c>
      <c r="I77" s="554" t="s">
        <v>487</v>
      </c>
      <c r="J77" s="554"/>
      <c r="K77" s="554"/>
      <c r="L77" s="510"/>
      <c r="M77" s="515">
        <f>IF(Stamoplysninger!$B$26="Der er indgået lokalaftale omkring weekendtimer.(Kræver aftale med TR/FSL) Weekendtillæg afspadseres.",M68,0)</f>
        <v>0</v>
      </c>
      <c r="N77" s="515">
        <f>IF(Stamoplysninger!$B$26="Der er indgået lokalaftale omkring weekendtimer.(Kræver aftale med TR/FSL) Weekendtillæg afspadseres.",O70,0)</f>
        <v>0</v>
      </c>
      <c r="O77" s="44"/>
      <c r="P77" s="44"/>
      <c r="Q77" s="44"/>
      <c r="R77" s="44"/>
      <c r="S77" s="44"/>
      <c r="T77" s="44"/>
      <c r="Y77"/>
      <c r="Z77"/>
      <c r="AO77" s="1"/>
      <c r="BL77" s="1"/>
      <c r="BW77" s="253"/>
      <c r="BX77" s="253"/>
      <c r="CY77"/>
      <c r="CZ77"/>
    </row>
    <row r="78" spans="1:111" hidden="1">
      <c r="A78" s="558" t="s">
        <v>242</v>
      </c>
      <c r="B78" s="558"/>
      <c r="C78" s="558"/>
      <c r="D78" s="558">
        <f>D77-D71-A87-D76</f>
        <v>22</v>
      </c>
      <c r="E78" s="562"/>
      <c r="F78" s="558" t="s">
        <v>201</v>
      </c>
      <c r="G78" s="558">
        <f>COUNTIFS($B$9:$B$39,"on",[0]!Oktober,"Skema 3")</f>
        <v>0</v>
      </c>
      <c r="H78" s="547"/>
      <c r="I78" s="554" t="s">
        <v>488</v>
      </c>
      <c r="J78" s="554"/>
      <c r="K78" s="554"/>
      <c r="L78" s="510"/>
      <c r="M78" s="515">
        <f>IF(Stamoplysninger!$B$26="Der er indgået lokalaftale omkring weekendtimer(Kræver aftale med TR/FSL). Weekendtillæg udbetales.",M68,0)</f>
        <v>0</v>
      </c>
      <c r="N78" s="515">
        <f>IF(Stamoplysninger!$B$26="Der er indgået lokalaftale omkring weekendtimer(Kræver aftale med TR/FSL). Weekendtillæg udbetales.",O70,0)</f>
        <v>0</v>
      </c>
      <c r="Y78"/>
      <c r="Z78"/>
      <c r="AO78" s="1"/>
      <c r="BL78" s="1"/>
      <c r="BW78" s="253"/>
      <c r="BX78" s="253"/>
      <c r="CY78"/>
      <c r="CZ78"/>
    </row>
    <row r="79" spans="1:111" hidden="1">
      <c r="A79" s="558"/>
      <c r="B79" s="558"/>
      <c r="C79" s="558"/>
      <c r="D79" s="558"/>
      <c r="E79" s="558"/>
      <c r="F79" s="558" t="s">
        <v>202</v>
      </c>
      <c r="G79" s="558">
        <f>COUNTIFS($B$9:$B$39,"to",[0]!Oktober,"Skema 3")</f>
        <v>0</v>
      </c>
      <c r="H79" s="547"/>
      <c r="I79" s="554" t="s">
        <v>336</v>
      </c>
      <c r="J79" s="554"/>
      <c r="K79" s="554"/>
      <c r="L79" s="510"/>
      <c r="M79" s="517">
        <f>IF(Stamoplysninger!$B$26="Der er indgået lokalaftale omkring weekendtillæg(Kræver aftale med TR/FSL). Weekendtimerne afspadseres.",M68,0)</f>
        <v>0</v>
      </c>
      <c r="N79" s="517">
        <f>IF(Stamoplysninger!$B$26="Der er indgået lokalaftale omkring weekendtillæg(Kræver aftale med TR/FSL). Weekendtimerne afspadseres.",N68,0)</f>
        <v>0</v>
      </c>
      <c r="Y79"/>
      <c r="Z79"/>
      <c r="AO79" s="1"/>
      <c r="BL79" s="1"/>
      <c r="BW79" s="253"/>
      <c r="BX79" s="253"/>
      <c r="CY79"/>
      <c r="CZ79"/>
    </row>
    <row r="80" spans="1:111" hidden="1">
      <c r="A80" s="558"/>
      <c r="B80" s="558"/>
      <c r="C80" s="558"/>
      <c r="D80" s="558"/>
      <c r="E80" s="558"/>
      <c r="F80" s="558" t="s">
        <v>203</v>
      </c>
      <c r="G80" s="558">
        <f>COUNTIFS($B$9:$B$39,"fr",[0]!Oktober,"Skema 3")</f>
        <v>0</v>
      </c>
      <c r="H80" s="547">
        <v>1</v>
      </c>
      <c r="I80" s="554" t="s">
        <v>337</v>
      </c>
      <c r="J80" s="554"/>
      <c r="K80" s="554"/>
      <c r="L80" s="510"/>
      <c r="M80" s="517">
        <f>IF(Stamoplysninger!$B$26="Der er indgået lokalaftale omkring weekendtillæg(Kræver aftale med TR/FSL). Weekendtimerne udbetales.",M68,0)</f>
        <v>0</v>
      </c>
      <c r="N80" s="517">
        <f>IF(Stamoplysninger!$B$26="Der er indgået lokalaftale omkring weekendtillæg(Kræver aftale med TR/FSL). Weekendtimerne udbetales.",N68,0)</f>
        <v>0</v>
      </c>
      <c r="Y80"/>
      <c r="Z80"/>
      <c r="AO80" s="1"/>
      <c r="BL80" s="1"/>
      <c r="BW80" s="253"/>
      <c r="BX80" s="253"/>
      <c r="CY80"/>
      <c r="CZ80"/>
    </row>
    <row r="81" spans="1:111" hidden="1">
      <c r="A81" s="558" t="s">
        <v>298</v>
      </c>
      <c r="B81" s="558"/>
      <c r="C81" s="558"/>
      <c r="D81" s="558"/>
      <c r="E81" s="558"/>
      <c r="F81" s="558"/>
      <c r="G81" s="558"/>
      <c r="H81" s="547">
        <v>2</v>
      </c>
      <c r="I81" s="554" t="s">
        <v>489</v>
      </c>
      <c r="J81" s="554"/>
      <c r="K81" s="554"/>
      <c r="L81" s="510"/>
      <c r="M81" s="517">
        <f>IF(Stamoplysninger!$B$26="Der er indgået lokalaftale omkring weekendtillæg(Kræver aftale med TR/FSL). Weekendtimerne afspadseres.",M68,0)</f>
        <v>0</v>
      </c>
      <c r="N81" s="517">
        <f>IF(Stamoplysninger!$B$26="Der er indgået lokalaftale omkring weekendtillæg(Kræver aftale med TR/FSL). Weekendtimerne afspadseres.",N68,0)</f>
        <v>0</v>
      </c>
      <c r="Y81"/>
      <c r="Z81"/>
      <c r="AO81" s="1"/>
      <c r="BL81" s="1"/>
      <c r="BW81" s="253"/>
      <c r="BX81" s="253"/>
      <c r="CY81"/>
      <c r="CZ81"/>
    </row>
    <row r="82" spans="1:111" hidden="1">
      <c r="A82" s="558">
        <f>COUNTIF($C$9,"Skema 1")+COUNTIF($C$9,"Skema 2")+COUNTIF($C$9,"Skema 3")+COUNTIF($C$9,"Skema 4")+COUNTIF($C$9,"Fagdag")+COUNTIF($C$9,"Emnedag")+COUNTIF($C$9,"Lejrskole")+COUNTIF($C$9,"Ekskursion")+COUNTIF($C$9,"Pæd.dag")</f>
        <v>0</v>
      </c>
      <c r="B82" s="558"/>
      <c r="C82" s="558"/>
      <c r="D82" s="558"/>
      <c r="E82" s="558"/>
      <c r="F82" s="558" t="s">
        <v>204</v>
      </c>
      <c r="G82" s="558">
        <f>COUNTIFS($B$9:$B$39,"ma",[0]!Oktober,"Skema 4")</f>
        <v>0</v>
      </c>
      <c r="H82" s="547"/>
      <c r="I82" s="554" t="s">
        <v>490</v>
      </c>
      <c r="J82" s="554"/>
      <c r="K82" s="554"/>
      <c r="L82" s="510"/>
      <c r="M82" s="517">
        <f>IF(Stamoplysninger!$B$26="Der er indgået lokalaftale omkring weekendtillæg(Kræver aftale med TR/FSL). Weekendtimerne udbetales.",M68,0)</f>
        <v>0</v>
      </c>
      <c r="N82" s="517">
        <f>IF(Stamoplysninger!$B$26="Der er indgået lokalaftale omkring weekendtillæg(Kræver aftale med TR/FSL). Weekendtimerne udbetales.",N68,0)</f>
        <v>0</v>
      </c>
      <c r="Y82"/>
      <c r="Z82"/>
      <c r="AO82" s="1"/>
      <c r="BL82" s="1"/>
      <c r="BW82" s="253"/>
      <c r="BX82" s="253"/>
      <c r="CY82"/>
      <c r="CZ82"/>
    </row>
    <row r="83" spans="1:111" hidden="1">
      <c r="A83" s="558">
        <f>COUNTIF($C$15:$C$16,"Skema 1")+COUNTIF($C$15:$C$16,"Skema 2")+COUNTIF($C$15:$C$16,"Skema 3")+COUNTIF($C$15:$C$16,"Skema 4")+COUNTIF($C$15:$C$16,"Fagdag")+COUNTIF($C$15:$C$16,"Emnedag")+COUNTIF($C$15:$C$16,"Lejrskole")+COUNTIF($C$15:$C$16,"Ekskursion")+COUNTIF($C$15:$C$16,"Pæd.dag")</f>
        <v>0</v>
      </c>
      <c r="B83" s="558"/>
      <c r="C83" s="558"/>
      <c r="D83" s="558"/>
      <c r="E83" s="558"/>
      <c r="F83" s="558" t="s">
        <v>205</v>
      </c>
      <c r="G83" s="558">
        <f>COUNTIFS($B$9:$B$39,"ti",[0]!Oktober,"Skema 4")</f>
        <v>0</v>
      </c>
      <c r="H83" s="547"/>
      <c r="I83" s="547" t="s">
        <v>486</v>
      </c>
      <c r="J83" s="552"/>
      <c r="K83" s="552"/>
      <c r="L83" s="44"/>
      <c r="M83" s="463">
        <f>IF(Stamoplysninger!$B$26="Der er indgået lokalaftale omkring weekendtimer og weekendtillæg.(Kræver aftale med TR/FSL).",M68,0)</f>
        <v>0</v>
      </c>
      <c r="N83" s="463"/>
      <c r="Y83"/>
      <c r="Z83"/>
      <c r="AO83" s="1"/>
      <c r="BL83" s="1"/>
      <c r="BW83" s="253"/>
      <c r="BX83" s="253"/>
      <c r="CY83"/>
      <c r="CZ83"/>
    </row>
    <row r="84" spans="1:111" hidden="1">
      <c r="A84" s="558">
        <f>COUNTIF($C$22:$C$23,"Skema 1")+COUNTIF($C$22:$C$23,"Skema 2")+COUNTIF($C$22:$C$23,"Skema 3")+COUNTIF($C$22:$C$23,"Skema 4")+COUNTIF($C$22:$C$23,"Fagdag")+COUNTIF($C$22:$C$23,"Emnedag")+COUNTIF($C$22:$C$23,"Lejrskole")+COUNTIF($C$22:$C$23,"Ekskursion")+COUNTIF($C$22:$C$23,"Pæd.dag")</f>
        <v>0</v>
      </c>
      <c r="B84" s="558"/>
      <c r="C84" s="558"/>
      <c r="D84" s="558"/>
      <c r="E84" s="558"/>
      <c r="F84" s="558" t="s">
        <v>206</v>
      </c>
      <c r="G84" s="558">
        <f>COUNTIFS($B$9:$B$39,"on",[0]!Oktober,"Skema 4")</f>
        <v>0</v>
      </c>
      <c r="H84" s="547"/>
      <c r="I84" s="547"/>
      <c r="J84" s="552"/>
      <c r="K84" s="552"/>
      <c r="L84" s="44"/>
      <c r="Y84"/>
      <c r="Z84"/>
      <c r="AO84" s="1"/>
      <c r="BL84" s="1"/>
      <c r="BW84" s="253"/>
      <c r="BX84" s="253"/>
      <c r="CY84"/>
      <c r="CZ84"/>
    </row>
    <row r="85" spans="1:111" hidden="1">
      <c r="A85" s="558">
        <f>COUNTIF($C$29:$C$30,"Skema 1")+COUNTIF($C$29:$C$30,"Skema 2")+COUNTIF($C$29:$C$30,"Skema 3")+COUNTIF($C$29:$C$30,"Skema 4")+COUNTIF($C$29:$C$30,"Fagdag")+COUNTIF($C$29:$C$30,"Emnedag")+COUNTIF($C$29:$C$30,"Lejrskole")+COUNTIF($C$29:$C$30,"Ekskursion")+COUNTIF($C$29:$C$30,"Pæd.dag")</f>
        <v>0</v>
      </c>
      <c r="B85" s="558"/>
      <c r="C85" s="558"/>
      <c r="D85" s="558"/>
      <c r="E85" s="558"/>
      <c r="F85" s="558" t="s">
        <v>207</v>
      </c>
      <c r="G85" s="558">
        <f>COUNTIFS($B$9:$B$39,"to",[0]!Oktober,"Skema 4")</f>
        <v>0</v>
      </c>
      <c r="H85" s="547"/>
      <c r="I85" s="547"/>
      <c r="J85" s="552"/>
      <c r="K85" s="552"/>
      <c r="L85" s="44"/>
      <c r="Y85"/>
      <c r="Z85"/>
      <c r="AO85" s="1">
        <f>SUM(N85:AN85)</f>
        <v>0</v>
      </c>
      <c r="BL85" s="1">
        <f>SUM(AI85:BK85)</f>
        <v>0</v>
      </c>
      <c r="BW85" s="253"/>
      <c r="BX85" s="253"/>
      <c r="CY85"/>
      <c r="CZ85"/>
    </row>
    <row r="86" spans="1:111" hidden="1">
      <c r="A86" s="558">
        <f>COUNTIF($C$36:$C$37,"Skema 1")+COUNTIF($C$36:$C$37,"Skema 2")+COUNTIF($C$36:$C$37,"Skema 3")+COUNTIF($C$36:$C$37,"Skema 4")+COUNTIF($C$36:$C$37,"Fagdag")+COUNTIF($C$36:$C$37,"Emnedag")+COUNTIF($C$36:$C$37,"Lejrskole")+COUNTIF($C$36:$C$37,"Ekskursion")+COUNTIF($C$36:$C$37,"Pæd.dag")</f>
        <v>0</v>
      </c>
      <c r="B86" s="558"/>
      <c r="C86" s="558"/>
      <c r="D86" s="558"/>
      <c r="E86" s="558"/>
      <c r="F86" s="558" t="s">
        <v>208</v>
      </c>
      <c r="G86" s="558">
        <f>COUNTIFS($B$9:$B$39,"fr",[0]!Oktober,"Skema 4")</f>
        <v>0</v>
      </c>
      <c r="H86" s="547"/>
      <c r="I86" s="552"/>
      <c r="J86" s="552"/>
      <c r="K86" s="552"/>
      <c r="L86" s="44"/>
      <c r="Y86"/>
      <c r="Z86"/>
      <c r="AO86" s="1">
        <f>SUM(N86:AN86)</f>
        <v>0</v>
      </c>
      <c r="BL86" s="1">
        <f>SUM(AI86:BK86)</f>
        <v>0</v>
      </c>
      <c r="BW86" s="253"/>
      <c r="BX86" s="253"/>
      <c r="CY86"/>
      <c r="CZ86"/>
    </row>
    <row r="87" spans="1:111" hidden="1">
      <c r="A87" s="558">
        <f>SUM(A82:A86)</f>
        <v>0</v>
      </c>
      <c r="B87" s="558"/>
      <c r="C87" s="558"/>
      <c r="D87" s="558"/>
      <c r="E87" s="558"/>
      <c r="F87" s="558"/>
      <c r="G87" s="574">
        <f>SUM(G64:G86)</f>
        <v>17</v>
      </c>
      <c r="H87" s="552"/>
      <c r="I87" s="552"/>
      <c r="J87" s="552"/>
      <c r="K87" s="552"/>
      <c r="L87" s="44"/>
      <c r="Y87"/>
      <c r="Z87"/>
      <c r="AO87" s="1">
        <f>SUM(N87:AN87)</f>
        <v>0</v>
      </c>
      <c r="BL87" s="1">
        <f>SUM(AI87:BK87)</f>
        <v>0</v>
      </c>
      <c r="BW87" s="253"/>
      <c r="BX87" s="253"/>
      <c r="CY87"/>
      <c r="CZ87"/>
    </row>
    <row r="88" spans="1:111" hidden="1">
      <c r="A88" s="563"/>
      <c r="B88" s="563"/>
      <c r="C88" s="563"/>
      <c r="D88" s="563"/>
      <c r="E88" s="558"/>
      <c r="F88" s="558"/>
      <c r="G88" s="558"/>
      <c r="H88" s="552"/>
      <c r="I88" s="552"/>
      <c r="J88" s="552"/>
      <c r="K88" s="552"/>
      <c r="L88" s="44"/>
      <c r="Y88"/>
      <c r="Z88"/>
      <c r="AO88" s="1">
        <f>SUM(N88:AN88)</f>
        <v>0</v>
      </c>
      <c r="BL88" s="1">
        <f>SUM(AI88:BK88)</f>
        <v>0</v>
      </c>
      <c r="BW88" s="253"/>
      <c r="BX88" s="253"/>
      <c r="CY88"/>
      <c r="CZ88"/>
    </row>
    <row r="89" spans="1:111" hidden="1">
      <c r="A89" s="563"/>
      <c r="B89" s="563"/>
      <c r="C89" s="563"/>
      <c r="D89" s="563"/>
      <c r="E89" s="558"/>
      <c r="F89" s="558"/>
      <c r="G89" s="558"/>
      <c r="H89" s="552"/>
      <c r="I89" s="552"/>
      <c r="J89" s="552"/>
      <c r="K89" s="552"/>
      <c r="Y89"/>
      <c r="Z89"/>
      <c r="BW89" s="253"/>
      <c r="BX89" s="253"/>
      <c r="CY89"/>
      <c r="CZ89"/>
    </row>
    <row r="90" spans="1:111" hidden="1">
      <c r="A90" s="563"/>
      <c r="B90" s="563"/>
      <c r="C90" s="563"/>
      <c r="D90" s="563"/>
      <c r="E90" s="558"/>
      <c r="F90" s="558"/>
      <c r="G90" s="558"/>
      <c r="H90" s="552"/>
      <c r="I90" s="552"/>
      <c r="J90" s="552"/>
      <c r="K90" s="552"/>
      <c r="Y90"/>
      <c r="Z90"/>
      <c r="BW90" s="253"/>
      <c r="BX90" s="253"/>
      <c r="CY90"/>
      <c r="CZ90"/>
    </row>
    <row r="91" spans="1:111" hidden="1">
      <c r="A91" s="563"/>
      <c r="B91" s="563"/>
      <c r="C91" s="563"/>
      <c r="D91" s="563"/>
      <c r="E91" s="558"/>
      <c r="F91" s="558"/>
      <c r="G91" s="558"/>
      <c r="H91" s="552"/>
      <c r="I91" s="552"/>
      <c r="J91" s="552"/>
      <c r="K91" s="552"/>
      <c r="Y91"/>
      <c r="Z91"/>
      <c r="BW91" s="253"/>
      <c r="BX91" s="253"/>
      <c r="CY91"/>
      <c r="CZ91"/>
    </row>
    <row r="92" spans="1:111">
      <c r="A92" s="563"/>
      <c r="B92" s="563"/>
      <c r="C92" s="563"/>
      <c r="D92" s="563"/>
      <c r="E92" s="547"/>
      <c r="F92" s="547"/>
      <c r="G92" s="547"/>
      <c r="H92" s="552"/>
      <c r="I92" s="552"/>
      <c r="J92" s="552"/>
      <c r="K92" s="552"/>
      <c r="Y92"/>
      <c r="Z92"/>
      <c r="BW92" s="253"/>
      <c r="BX92" s="253"/>
      <c r="CY92"/>
      <c r="CZ92"/>
    </row>
    <row r="93" spans="1:111">
      <c r="A93" s="552"/>
      <c r="B93" s="552"/>
      <c r="C93" s="552"/>
      <c r="D93" s="552"/>
      <c r="E93" s="547"/>
      <c r="F93" s="547"/>
      <c r="G93" s="547"/>
      <c r="H93" s="552"/>
      <c r="I93" s="552"/>
      <c r="J93" s="552"/>
      <c r="K93" s="552"/>
      <c r="Y93"/>
      <c r="Z93"/>
      <c r="AF93" s="235"/>
      <c r="BW93" s="253"/>
      <c r="BX93" s="253"/>
      <c r="CY93"/>
      <c r="CZ93"/>
    </row>
    <row r="94" spans="1:111">
      <c r="A94" s="552"/>
      <c r="B94" s="552"/>
      <c r="C94" s="552"/>
      <c r="D94" s="552"/>
      <c r="E94" s="547"/>
      <c r="F94" s="547"/>
      <c r="G94" s="547"/>
      <c r="H94" s="552"/>
      <c r="I94" s="552"/>
      <c r="J94" s="552"/>
      <c r="K94" s="552"/>
      <c r="Y94"/>
      <c r="Z94"/>
      <c r="AD94" s="4"/>
      <c r="AE94" s="235"/>
      <c r="AF94" s="235"/>
      <c r="AG94" s="235"/>
      <c r="AH94" s="235"/>
      <c r="CY94"/>
      <c r="CZ94"/>
      <c r="DF94" s="253"/>
      <c r="DG94" s="253"/>
    </row>
    <row r="95" spans="1:111">
      <c r="A95" s="552"/>
      <c r="B95" s="552"/>
      <c r="C95" s="552"/>
      <c r="D95" s="552"/>
      <c r="E95" s="547"/>
      <c r="F95" s="547"/>
      <c r="G95" s="547"/>
      <c r="H95" s="552"/>
      <c r="I95" s="552"/>
      <c r="J95" s="552"/>
      <c r="K95" s="552"/>
      <c r="Y95"/>
      <c r="Z95"/>
      <c r="AD95" s="4"/>
      <c r="AE95" s="235"/>
      <c r="AG95" s="235"/>
      <c r="AH95" s="235"/>
      <c r="CY95"/>
      <c r="CZ95"/>
      <c r="DF95" s="253"/>
      <c r="DG95" s="253"/>
    </row>
    <row r="96" spans="1:111">
      <c r="A96" s="477"/>
      <c r="B96" s="477"/>
      <c r="C96" s="477"/>
      <c r="D96" s="477"/>
      <c r="E96" s="122"/>
      <c r="F96" s="122"/>
      <c r="G96" s="122"/>
      <c r="H96" s="477"/>
    </row>
    <row r="97" spans="1:8">
      <c r="A97" s="477"/>
      <c r="B97" s="477"/>
      <c r="C97" s="477"/>
      <c r="D97" s="477"/>
      <c r="E97" s="122"/>
      <c r="F97" s="122"/>
      <c r="G97" s="122"/>
      <c r="H97" s="477"/>
    </row>
    <row r="98" spans="1:8">
      <c r="A98" s="477"/>
      <c r="B98" s="477"/>
      <c r="C98" s="477"/>
      <c r="D98" s="477"/>
      <c r="E98" s="477"/>
      <c r="F98" s="477"/>
      <c r="G98" s="477"/>
      <c r="H98" s="477"/>
    </row>
    <row r="99" spans="1:8">
      <c r="A99" s="477"/>
      <c r="B99" s="477"/>
      <c r="C99" s="477"/>
      <c r="D99" s="477"/>
      <c r="E99" s="477"/>
      <c r="F99" s="477"/>
      <c r="G99" s="477"/>
      <c r="H99" s="477"/>
    </row>
    <row r="100" spans="1:8">
      <c r="A100" s="477"/>
      <c r="B100" s="477"/>
      <c r="C100" s="477"/>
      <c r="D100" s="477"/>
      <c r="E100" s="477"/>
      <c r="F100" s="477"/>
      <c r="G100" s="477"/>
      <c r="H100" s="477"/>
    </row>
    <row r="101" spans="1:8">
      <c r="A101" s="477"/>
      <c r="B101" s="477"/>
      <c r="C101" s="477"/>
      <c r="D101" s="477"/>
    </row>
  </sheetData>
  <sheetProtection sheet="1" objects="1" scenarios="1"/>
  <mergeCells count="142">
    <mergeCell ref="I55:K55"/>
    <mergeCell ref="C59:D59"/>
    <mergeCell ref="E59:G59"/>
    <mergeCell ref="I59:K59"/>
    <mergeCell ref="A60:B60"/>
    <mergeCell ref="C60:D60"/>
    <mergeCell ref="E60:G60"/>
    <mergeCell ref="I60:K60"/>
    <mergeCell ref="A61:B61"/>
    <mergeCell ref="C61:D61"/>
    <mergeCell ref="E61:G61"/>
    <mergeCell ref="I61:K61"/>
    <mergeCell ref="S5:X5"/>
    <mergeCell ref="B2:E2"/>
    <mergeCell ref="E4:G4"/>
    <mergeCell ref="K4:L4"/>
    <mergeCell ref="A5:R5"/>
    <mergeCell ref="P6:P7"/>
    <mergeCell ref="Q6:Q7"/>
    <mergeCell ref="R6:R7"/>
    <mergeCell ref="A4:D4"/>
    <mergeCell ref="A3:X3"/>
    <mergeCell ref="S6:X6"/>
    <mergeCell ref="AG6:AK6"/>
    <mergeCell ref="E6:G8"/>
    <mergeCell ref="K6:L6"/>
    <mergeCell ref="N6:N7"/>
    <mergeCell ref="O6:O7"/>
    <mergeCell ref="E11:G11"/>
    <mergeCell ref="I8:J8"/>
    <mergeCell ref="I6:I7"/>
    <mergeCell ref="J6:J7"/>
    <mergeCell ref="S8:U8"/>
    <mergeCell ref="V8:X8"/>
    <mergeCell ref="E12:G12"/>
    <mergeCell ref="E13:G13"/>
    <mergeCell ref="E14:G14"/>
    <mergeCell ref="E15:G15"/>
    <mergeCell ref="E16:G16"/>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K8:R8"/>
    <mergeCell ref="AA6:AE6"/>
    <mergeCell ref="E23:G23"/>
    <mergeCell ref="E24:G24"/>
    <mergeCell ref="E25:G25"/>
    <mergeCell ref="E26:G26"/>
    <mergeCell ref="E27:G27"/>
    <mergeCell ref="E28:G28"/>
    <mergeCell ref="E32:G32"/>
    <mergeCell ref="E17:G17"/>
    <mergeCell ref="E18:G18"/>
    <mergeCell ref="E19:G19"/>
    <mergeCell ref="E20:G20"/>
    <mergeCell ref="E21:G21"/>
    <mergeCell ref="E22:G22"/>
    <mergeCell ref="E36:G36"/>
    <mergeCell ref="E37:G37"/>
    <mergeCell ref="E38:G38"/>
    <mergeCell ref="E39:G39"/>
    <mergeCell ref="A40:I40"/>
    <mergeCell ref="E29:G29"/>
    <mergeCell ref="E30:G30"/>
    <mergeCell ref="E31:G31"/>
    <mergeCell ref="E33:G33"/>
    <mergeCell ref="E34:G34"/>
    <mergeCell ref="E35:G35"/>
    <mergeCell ref="A47:G47"/>
    <mergeCell ref="I47:K47"/>
    <mergeCell ref="A44:G44"/>
    <mergeCell ref="I44:K44"/>
    <mergeCell ref="A45:G45"/>
    <mergeCell ref="I45:K45"/>
    <mergeCell ref="A48:H48"/>
    <mergeCell ref="I48:K48"/>
    <mergeCell ref="A42:G42"/>
    <mergeCell ref="I42:K42"/>
    <mergeCell ref="A43:G43"/>
    <mergeCell ref="I43:K43"/>
    <mergeCell ref="A67:C67"/>
    <mergeCell ref="A65:C65"/>
    <mergeCell ref="A66:C66"/>
    <mergeCell ref="I51:K51"/>
    <mergeCell ref="M51:U51"/>
    <mergeCell ref="V51:X51"/>
    <mergeCell ref="M52:U52"/>
    <mergeCell ref="V52:X52"/>
    <mergeCell ref="A53:G54"/>
    <mergeCell ref="I53:K53"/>
    <mergeCell ref="M53:U53"/>
    <mergeCell ref="V53:X53"/>
    <mergeCell ref="I54:K54"/>
    <mergeCell ref="A55:G55"/>
    <mergeCell ref="A56:K56"/>
    <mergeCell ref="A57:B57"/>
    <mergeCell ref="C57:D57"/>
    <mergeCell ref="E57:G57"/>
    <mergeCell ref="H57:K57"/>
    <mergeCell ref="A58:B58"/>
    <mergeCell ref="C58:D58"/>
    <mergeCell ref="E58:G58"/>
    <mergeCell ref="I58:K58"/>
    <mergeCell ref="A59:B59"/>
    <mergeCell ref="A62:G62"/>
    <mergeCell ref="I62:K62"/>
    <mergeCell ref="M42:X42"/>
    <mergeCell ref="M43:U43"/>
    <mergeCell ref="V43:X43"/>
    <mergeCell ref="M44:U44"/>
    <mergeCell ref="V44:X44"/>
    <mergeCell ref="M45:U45"/>
    <mergeCell ref="V45:X45"/>
    <mergeCell ref="M50:U50"/>
    <mergeCell ref="V50:X50"/>
    <mergeCell ref="M46:U46"/>
    <mergeCell ref="V46:X46"/>
    <mergeCell ref="M47:X47"/>
    <mergeCell ref="M48:U48"/>
    <mergeCell ref="V48:X48"/>
    <mergeCell ref="M49:U49"/>
    <mergeCell ref="V49:X49"/>
    <mergeCell ref="A49:H49"/>
    <mergeCell ref="I49:K49"/>
    <mergeCell ref="A50:H50"/>
    <mergeCell ref="I50:K50"/>
    <mergeCell ref="A46:G46"/>
    <mergeCell ref="I46:K46"/>
  </mergeCells>
  <conditionalFormatting sqref="A9:H31 A32:E32 H32 A33:H39">
    <cfRule type="expression" dxfId="784" priority="55">
      <formula>OR($C9="SH-dag")</formula>
    </cfRule>
    <cfRule type="expression" dxfId="783" priority="62" stopIfTrue="1">
      <formula>OR($C9="skoledag")</formula>
    </cfRule>
    <cfRule type="expression" dxfId="782" priority="61">
      <formula>OR($C9="weekend")</formula>
    </cfRule>
    <cfRule type="expression" dxfId="781" priority="7">
      <formula>OR($C9="Orlov")</formula>
    </cfRule>
    <cfRule type="expression" dxfId="780" priority="60">
      <formula>OR($C9="feriedag")</formula>
    </cfRule>
    <cfRule type="expression" dxfId="779" priority="59">
      <formula>OR($C9="fagdag")</formula>
    </cfRule>
    <cfRule type="expression" dxfId="778" priority="58">
      <formula>OR($C9="emnedag")</formula>
    </cfRule>
    <cfRule type="expression" dxfId="777" priority="57">
      <formula>OR($C9="lejrskole")</formula>
    </cfRule>
    <cfRule type="expression" dxfId="776" priority="56">
      <formula>OR($C9="ekskursion")</formula>
    </cfRule>
    <cfRule type="expression" dxfId="775" priority="54">
      <formula>OR($C9="nul-dag")</formula>
    </cfRule>
    <cfRule type="expression" dxfId="774" priority="53">
      <formula>OR($C9="pæd.dag")</formula>
    </cfRule>
    <cfRule type="expression" dxfId="773" priority="52">
      <formula>OR($C9="Ikke relevant")</formula>
    </cfRule>
    <cfRule type="expression" dxfId="772" priority="48">
      <formula>OR($C9="Skema 1")</formula>
    </cfRule>
    <cfRule type="expression" dxfId="771" priority="49">
      <formula>OR($C9="skema 2")</formula>
    </cfRule>
    <cfRule type="expression" dxfId="770" priority="50">
      <formula>OR($C9="Skema 3")</formula>
    </cfRule>
    <cfRule type="expression" dxfId="769" priority="51">
      <formula>OR($C9="Skema 4")</formula>
    </cfRule>
  </conditionalFormatting>
  <conditionalFormatting sqref="E20">
    <cfRule type="expression" dxfId="768" priority="64">
      <formula>OR($D19="nul-dag")</formula>
    </cfRule>
    <cfRule type="expression" dxfId="767" priority="65">
      <formula>OR($D19="SH-dag")</formula>
    </cfRule>
    <cfRule type="expression" dxfId="766" priority="66">
      <formula>OR($D19="ekskursion")</formula>
    </cfRule>
    <cfRule type="expression" dxfId="765" priority="63">
      <formula>OR($D19="pæd.dag")</formula>
    </cfRule>
    <cfRule type="expression" dxfId="764" priority="67">
      <formula>OR($D19="lejrskole")</formula>
    </cfRule>
    <cfRule type="expression" dxfId="763" priority="68">
      <formula>OR($D19="emnedag")</formula>
    </cfRule>
    <cfRule type="expression" dxfId="762" priority="69">
      <formula>OR($D19="fagdag")</formula>
    </cfRule>
    <cfRule type="expression" dxfId="761" priority="70">
      <formula>OR($D19="feriedag")</formula>
    </cfRule>
    <cfRule type="expression" dxfId="760" priority="71">
      <formula>OR($D19="weekend")</formula>
    </cfRule>
    <cfRule type="expression" dxfId="759" priority="72" stopIfTrue="1">
      <formula>OR($D19="skoledag")</formula>
    </cfRule>
    <cfRule type="expression" dxfId="758" priority="73">
      <formula>OR($D19="Ikke relevant")</formula>
    </cfRule>
  </conditionalFormatting>
  <conditionalFormatting sqref="H58:H61">
    <cfRule type="expression" dxfId="757" priority="1">
      <formula>OR($A58&gt;0,)</formula>
    </cfRule>
  </conditionalFormatting>
  <conditionalFormatting sqref="I58:I61">
    <cfRule type="expression" dxfId="756" priority="2">
      <formula>OR($C58&gt;0,)</formula>
    </cfRule>
  </conditionalFormatting>
  <conditionalFormatting sqref="K9:K39">
    <cfRule type="expression" dxfId="755" priority="45">
      <formula>OR($C9="Pæd.dag",)</formula>
    </cfRule>
  </conditionalFormatting>
  <conditionalFormatting sqref="K9:L39">
    <cfRule type="expression" dxfId="754" priority="47">
      <formula>OR($C9="Ekskursion",)</formula>
    </cfRule>
    <cfRule type="expression" dxfId="753" priority="46">
      <formula>OR($C9="Lejrskole",)</formula>
    </cfRule>
  </conditionalFormatting>
  <conditionalFormatting sqref="K9:M39">
    <cfRule type="expression" dxfId="752" priority="44">
      <formula>OR($C9="emnedag",)</formula>
    </cfRule>
    <cfRule type="expression" dxfId="751" priority="43">
      <formula>OR($C9="fagdag",)</formula>
    </cfRule>
  </conditionalFormatting>
  <conditionalFormatting sqref="R9:R39">
    <cfRule type="expression" dxfId="750" priority="74">
      <formula>OR($H9&gt;"0",)</formula>
    </cfRule>
  </conditionalFormatting>
  <conditionalFormatting sqref="V9:V39">
    <cfRule type="expression" dxfId="749" priority="10">
      <formula>OR($S9="X",)</formula>
    </cfRule>
  </conditionalFormatting>
  <conditionalFormatting sqref="V49:X52">
    <cfRule type="expression" dxfId="748" priority="3">
      <formula>OR($M49&gt;0,)</formula>
    </cfRule>
  </conditionalFormatting>
  <conditionalFormatting sqref="W9:W39">
    <cfRule type="expression" dxfId="747" priority="9">
      <formula>OR($T9="X",)</formula>
    </cfRule>
  </conditionalFormatting>
  <conditionalFormatting sqref="X9:X39">
    <cfRule type="expression" dxfId="746" priority="8">
      <formula>OR($U9="X",)</formula>
    </cfRule>
  </conditionalFormatting>
  <dataValidations count="3">
    <dataValidation type="list" allowBlank="1" showInputMessage="1" showErrorMessage="1" sqref="S9:T39 U9:U37 A58:D61" xr:uid="{ECCDBE0B-63A5-D941-A839-278727B57393}">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36:I37 I29:I30 I15:I16 I22:I23 I9" xr:uid="{32F8270C-CA1A-9F41-822E-96F1713992C0}">
      <formula1>$W$1:$W$2</formula1>
    </dataValidation>
    <dataValidation type="list" allowBlank="1" showInputMessage="1" showErrorMessage="1" promptTitle="OBS:" prompt="Ved arrangementer med overnatning ydes istedet for ulempe- og weekendgodtgørelse på hhv. 25% og 50% faste tillæg pr. påbegyndt dag. " sqref="J9:J39" xr:uid="{E02F1D85-9CBE-FC4C-9228-6804B1F905AB}">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8D76BD34-0930-1540-819C-0F4CA3C0AFED}">
          <x14:formula1>
            <xm:f>August!$A$89:$A$103</xm:f>
          </x14:formula1>
          <xm:sqref>C9:C39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36</vt:i4>
      </vt:variant>
      <vt:variant>
        <vt:lpstr>Navngivne områder</vt:lpstr>
      </vt:variant>
      <vt:variant>
        <vt:i4>60</vt:i4>
      </vt:variant>
    </vt:vector>
  </HeadingPairs>
  <TitlesOfParts>
    <vt:vector size="96" baseType="lpstr">
      <vt:lpstr>Vejledning</vt:lpstr>
      <vt:lpstr>Vejledning PDF</vt:lpstr>
      <vt:lpstr>Ændringer i forhold til 22-23</vt:lpstr>
      <vt:lpstr>Gode råd til check</vt:lpstr>
      <vt:lpstr>Stamoplysninger</vt:lpstr>
      <vt:lpstr>Skemaoplysninger</vt:lpstr>
      <vt:lpstr>August</vt:lpstr>
      <vt:lpstr>September</vt:lpstr>
      <vt:lpstr>Oktober</vt:lpstr>
      <vt:lpstr>November</vt:lpstr>
      <vt:lpstr>December</vt:lpstr>
      <vt:lpstr>Januar</vt:lpstr>
      <vt:lpstr>Februar</vt:lpstr>
      <vt:lpstr>Marts</vt:lpstr>
      <vt:lpstr>April</vt:lpstr>
      <vt:lpstr>Maj</vt:lpstr>
      <vt:lpstr>Juni</vt:lpstr>
      <vt:lpstr>Juli</vt:lpstr>
      <vt:lpstr>Arbejdstidsoversigt</vt:lpstr>
      <vt:lpstr>Opgaver</vt:lpstr>
      <vt:lpstr>Opgørelse</vt:lpstr>
      <vt:lpstr>Undervisningstillæg</vt:lpstr>
      <vt:lpstr>Ulempe-weekendtillæg</vt:lpstr>
      <vt:lpstr>Vejledning til arb.tidsoversigt</vt:lpstr>
      <vt:lpstr>Opgaveoversigt</vt:lpstr>
      <vt:lpstr>Aften-weekendtillæg</vt:lpstr>
      <vt:lpstr>Aar</vt:lpstr>
      <vt:lpstr>1.halvaar</vt:lpstr>
      <vt:lpstr>2.halvaar</vt:lpstr>
      <vt:lpstr>Skema 1 til print</vt:lpstr>
      <vt:lpstr>Skema 2 til print</vt:lpstr>
      <vt:lpstr>Skema 3 til print</vt:lpstr>
      <vt:lpstr>Skema 4 til print</vt:lpstr>
      <vt:lpstr>TOMT ÅR</vt:lpstr>
      <vt:lpstr>TOMT 1. HALVÅR</vt:lpstr>
      <vt:lpstr>TOMT 2. HALVÅR</vt:lpstr>
      <vt:lpstr>April</vt:lpstr>
      <vt:lpstr>April!AUG</vt:lpstr>
      <vt:lpstr>December!AUG</vt:lpstr>
      <vt:lpstr>Februar!AUG</vt:lpstr>
      <vt:lpstr>Januar!AUG</vt:lpstr>
      <vt:lpstr>Juli!AUG</vt:lpstr>
      <vt:lpstr>Juni!AUG</vt:lpstr>
      <vt:lpstr>Maj!AUG</vt:lpstr>
      <vt:lpstr>Marts!AUG</vt:lpstr>
      <vt:lpstr>November!AUG</vt:lpstr>
      <vt:lpstr>Oktober!AUG</vt:lpstr>
      <vt:lpstr>September!AUG</vt:lpstr>
      <vt:lpstr>AUG</vt:lpstr>
      <vt:lpstr>April!august</vt:lpstr>
      <vt:lpstr>August!august</vt:lpstr>
      <vt:lpstr>December!august</vt:lpstr>
      <vt:lpstr>Februar!august</vt:lpstr>
      <vt:lpstr>Januar!august</vt:lpstr>
      <vt:lpstr>Juli!august</vt:lpstr>
      <vt:lpstr>Juni!august</vt:lpstr>
      <vt:lpstr>Maj!august</vt:lpstr>
      <vt:lpstr>Marts!august</vt:lpstr>
      <vt:lpstr>November!august</vt:lpstr>
      <vt:lpstr>Oktober!august</vt:lpstr>
      <vt:lpstr>September!august</vt:lpstr>
      <vt:lpstr>AUGUST</vt:lpstr>
      <vt:lpstr>December</vt:lpstr>
      <vt:lpstr>Februar</vt:lpstr>
      <vt:lpstr>Januar</vt:lpstr>
      <vt:lpstr>Juli</vt:lpstr>
      <vt:lpstr>Juni</vt:lpstr>
      <vt:lpstr>Maj</vt:lpstr>
      <vt:lpstr>Marts</vt:lpstr>
      <vt:lpstr>November</vt:lpstr>
      <vt:lpstr>Oktober</vt:lpstr>
      <vt:lpstr>SEPTEMBER</vt:lpstr>
      <vt:lpstr>Skema_1</vt:lpstr>
      <vt:lpstr>'1.halvaar'!Udskriftsområde</vt:lpstr>
      <vt:lpstr>'2.halvaar'!Udskriftsområde</vt:lpstr>
      <vt:lpstr>April!Udskriftsområde</vt:lpstr>
      <vt:lpstr>Arbejdstidsoversigt!Udskriftsområde</vt:lpstr>
      <vt:lpstr>August!Udskriftsområde</vt:lpstr>
      <vt:lpstr>December!Udskriftsområde</vt:lpstr>
      <vt:lpstr>Februar!Udskriftsområde</vt:lpstr>
      <vt:lpstr>Januar!Udskriftsområde</vt:lpstr>
      <vt:lpstr>Juli!Udskriftsområde</vt:lpstr>
      <vt:lpstr>Juni!Udskriftsområde</vt:lpstr>
      <vt:lpstr>Maj!Udskriftsområde</vt:lpstr>
      <vt:lpstr>Marts!Udskriftsområde</vt:lpstr>
      <vt:lpstr>November!Udskriftsområde</vt:lpstr>
      <vt:lpstr>Oktober!Udskriftsområde</vt:lpstr>
      <vt:lpstr>Opgaver!Udskriftsområde</vt:lpstr>
      <vt:lpstr>Opgørelse!Udskriftsområde</vt:lpstr>
      <vt:lpstr>September!Udskriftsområde</vt:lpstr>
      <vt:lpstr>Skemaoplysninger!Udskriftsområde</vt:lpstr>
      <vt:lpstr>Stamoplysninger!Udskriftsområde</vt:lpstr>
      <vt:lpstr>'Ulempe-weekendtillæg'!Udskriftsområde</vt:lpstr>
      <vt:lpstr>Undervisningstillæg!Udskriftsområde</vt:lpstr>
      <vt:lpstr>Vejledning!Udskriftsområde</vt:lpstr>
      <vt:lpstr>Aar!Udskriftsområde</vt:lpstr>
    </vt:vector>
  </TitlesOfParts>
  <Manager/>
  <Company>Dansk Friskoleforening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Tove Dohn</dc:creator>
  <cp:keywords/>
  <dc:description/>
  <cp:lastModifiedBy>Tove Dohn</cp:lastModifiedBy>
  <cp:lastPrinted>2023-03-07T13:23:25Z</cp:lastPrinted>
  <dcterms:created xsi:type="dcterms:W3CDTF">2014-04-09T06:24:54Z</dcterms:created>
  <dcterms:modified xsi:type="dcterms:W3CDTF">2024-04-02T15:23:51Z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NameForeign">
    <vt:lpwstr>ORG_Organisation</vt:lpwstr>
  </property>
  <property fmtid="{D5CDD505-2E9C-101B-9397-08002B2CF9AE}" pid="3" name="EntityId">
    <vt:lpwstr>317</vt:lpwstr>
  </property>
  <property fmtid="{D5CDD505-2E9C-101B-9397-08002B2CF9AE}" pid="4" name="DL_sAMAccountName">
    <vt:lpwstr>dftoje</vt:lpwstr>
  </property>
  <property fmtid="{D5CDD505-2E9C-101B-9397-08002B2CF9AE}" pid="5" name="DL_AuthorInitials">
    <vt:lpwstr>dftoje</vt:lpwstr>
  </property>
  <property fmtid="{D5CDD505-2E9C-101B-9397-08002B2CF9AE}" pid="6" name="fInit">
    <vt:lpwstr>dftoje</vt:lpwstr>
  </property>
  <property fmtid="{D5CDD505-2E9C-101B-9397-08002B2CF9AE}" pid="7" name="fNavn">
    <vt:lpwstr>Tove D Jensen</vt:lpwstr>
  </property>
  <property fmtid="{D5CDD505-2E9C-101B-9397-08002B2CF9AE}" pid="8" name="fEpost">
    <vt:lpwstr>tove@friskoler.dk</vt:lpwstr>
  </property>
  <property fmtid="{D5CDD505-2E9C-101B-9397-08002B2CF9AE}" pid="9" name="DL_Id">
    <vt:lpwstr>317</vt:lpwstr>
  </property>
  <property fmtid="{D5CDD505-2E9C-101B-9397-08002B2CF9AE}" pid="10" name="sOprettet">
    <vt:lpwstr>06-05-2015</vt:lpwstr>
  </property>
  <property fmtid="{D5CDD505-2E9C-101B-9397-08002B2CF9AE}" pid="11" name="sOprettetAf">
    <vt:lpwstr>test\test</vt:lpwstr>
  </property>
  <property fmtid="{D5CDD505-2E9C-101B-9397-08002B2CF9AE}" pid="12" name="sÆndret">
    <vt:lpwstr>06-05-2015</vt:lpwstr>
  </property>
  <property fmtid="{D5CDD505-2E9C-101B-9397-08002B2CF9AE}" pid="13" name="sÆndretAf">
    <vt:lpwstr>test\test</vt:lpwstr>
  </property>
  <property fmtid="{D5CDD505-2E9C-101B-9397-08002B2CF9AE}" pid="14" name="sKonto">
    <vt:lpwstr>              811007</vt:lpwstr>
  </property>
  <property fmtid="{D5CDD505-2E9C-101B-9397-08002B2CF9AE}" pid="15" name="sAktivitetsnr">
    <vt:lpwstr>811007</vt:lpwstr>
  </property>
  <property fmtid="{D5CDD505-2E9C-101B-9397-08002B2CF9AE}" pid="16" name="sNavn">
    <vt:lpwstr>Klim Friskole</vt:lpwstr>
  </property>
  <property fmtid="{D5CDD505-2E9C-101B-9397-08002B2CF9AE}" pid="17" name="sTitel">
    <vt:lpwstr>Klim Friskole</vt:lpwstr>
  </property>
  <property fmtid="{D5CDD505-2E9C-101B-9397-08002B2CF9AE}" pid="18" name="sGade">
    <vt:lpwstr>Oddevej 59
Klim</vt:lpwstr>
  </property>
  <property fmtid="{D5CDD505-2E9C-101B-9397-08002B2CF9AE}" pid="19" name="sPostnummer">
    <vt:lpwstr>9690</vt:lpwstr>
  </property>
  <property fmtid="{D5CDD505-2E9C-101B-9397-08002B2CF9AE}" pid="20" name="sBy">
    <vt:lpwstr>Fjerritslev</vt:lpwstr>
  </property>
  <property fmtid="{D5CDD505-2E9C-101B-9397-08002B2CF9AE}" pid="21" name="sTelefon">
    <vt:lpwstr>98 22 52 92</vt:lpwstr>
  </property>
  <property fmtid="{D5CDD505-2E9C-101B-9397-08002B2CF9AE}" pid="22" name="sFax">
    <vt:lpwstr/>
  </property>
  <property fmtid="{D5CDD505-2E9C-101B-9397-08002B2CF9AE}" pid="23" name="sCvrNummer">
    <vt:lpwstr/>
  </property>
  <property fmtid="{D5CDD505-2E9C-101B-9397-08002B2CF9AE}" pid="24" name="sAntalMedlemmer">
    <vt:lpwstr>28</vt:lpwstr>
  </property>
  <property fmtid="{D5CDD505-2E9C-101B-9397-08002B2CF9AE}" pid="25" name="sInteressentgruppe">
    <vt:lpwstr>Medlem af Dansk Friskoleforening</vt:lpwstr>
  </property>
  <property fmtid="{D5CDD505-2E9C-101B-9397-08002B2CF9AE}" pid="26" name="sSektion">
    <vt:lpwstr/>
  </property>
  <property fmtid="{D5CDD505-2E9C-101B-9397-08002B2CF9AE}" pid="27" name="sEjerform">
    <vt:lpwstr/>
  </property>
  <property fmtid="{D5CDD505-2E9C-101B-9397-08002B2CF9AE}" pid="28" name="sSelskabsform">
    <vt:lpwstr>0. - 9. klasse</vt:lpwstr>
  </property>
  <property fmtid="{D5CDD505-2E9C-101B-9397-08002B2CF9AE}" pid="29" name="sSagsbehandlernavn">
    <vt:lpwstr/>
  </property>
  <property fmtid="{D5CDD505-2E9C-101B-9397-08002B2CF9AE}" pid="30" name="sAfdeling">
    <vt:lpwstr/>
  </property>
  <property fmtid="{D5CDD505-2E9C-101B-9397-08002B2CF9AE}" pid="31" name="sStatus">
    <vt:lpwstr>0</vt:lpwstr>
  </property>
  <property fmtid="{D5CDD505-2E9C-101B-9397-08002B2CF9AE}" pid="32" name="sStatusDecode">
    <vt:lpwstr>Åben</vt:lpwstr>
  </property>
  <property fmtid="{D5CDD505-2E9C-101B-9397-08002B2CF9AE}" pid="33" name="sSidstÆndret">
    <vt:lpwstr>01-06-2015</vt:lpwstr>
  </property>
  <property fmtid="{D5CDD505-2E9C-101B-9397-08002B2CF9AE}" pid="34" name="sLastmodifiedby">
    <vt:lpwstr>CAMPHOSTING\dftoje</vt:lpwstr>
  </property>
</Properties>
</file>